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imon_h_sverrisson_skjalasafn_is/Documents/Margmiðlunarefni/Kjörgagnavefur/Viðaukar_7_apríl/V-7 - Kjörsókn eftir hreppum - töflur_PDF/"/>
    </mc:Choice>
  </mc:AlternateContent>
  <xr:revisionPtr revIDLastSave="1" documentId="13_ncr:1_{56CC60E0-EDF6-4F9B-AC04-FAD24233281B}" xr6:coauthVersionLast="47" xr6:coauthVersionMax="47" xr10:uidLastSave="{E4A6AC82-6C73-42EA-A87F-D3E2356318E3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9" i="1" l="1"/>
  <c r="J290" i="1" l="1"/>
  <c r="I290" i="1"/>
  <c r="H290" i="1"/>
  <c r="G290" i="1"/>
  <c r="E347" i="1"/>
  <c r="H270" i="1"/>
  <c r="G270" i="1"/>
  <c r="F270" i="1"/>
  <c r="L124" i="1"/>
  <c r="J206" i="1"/>
  <c r="I206" i="1"/>
  <c r="D206" i="1"/>
  <c r="C206" i="1"/>
  <c r="D84" i="1"/>
  <c r="D103" i="1"/>
  <c r="C229" i="1"/>
  <c r="C310" i="1"/>
  <c r="C347" i="1"/>
  <c r="C327" i="1"/>
  <c r="O44" i="1" l="1"/>
  <c r="K206" i="1"/>
  <c r="K203" i="1"/>
  <c r="K202" i="1"/>
  <c r="K201" i="1"/>
  <c r="K200" i="1"/>
  <c r="K199" i="1"/>
  <c r="K198" i="1"/>
  <c r="K197" i="1"/>
  <c r="K196" i="1"/>
  <c r="K195" i="1"/>
  <c r="K194" i="1"/>
  <c r="H203" i="1"/>
  <c r="H206" i="1"/>
  <c r="H202" i="1"/>
  <c r="H201" i="1"/>
  <c r="H200" i="1"/>
  <c r="H199" i="1"/>
  <c r="H198" i="1"/>
  <c r="H197" i="1"/>
  <c r="H196" i="1"/>
  <c r="H195" i="1"/>
  <c r="H194" i="1"/>
  <c r="G206" i="1"/>
  <c r="G203" i="1"/>
  <c r="G202" i="1"/>
  <c r="G201" i="1"/>
  <c r="G200" i="1"/>
  <c r="G199" i="1"/>
  <c r="G198" i="1"/>
  <c r="G197" i="1"/>
  <c r="G196" i="1"/>
  <c r="G195" i="1"/>
  <c r="G194" i="1"/>
  <c r="F206" i="1"/>
  <c r="F204" i="1"/>
  <c r="F203" i="1"/>
  <c r="F202" i="1"/>
  <c r="F201" i="1"/>
  <c r="F200" i="1"/>
  <c r="F199" i="1"/>
  <c r="F198" i="1"/>
  <c r="F197" i="1"/>
  <c r="F196" i="1"/>
  <c r="F195" i="1"/>
  <c r="F194" i="1"/>
  <c r="E206" i="1"/>
  <c r="E203" i="1"/>
  <c r="E202" i="1"/>
  <c r="E201" i="1"/>
  <c r="E200" i="1"/>
  <c r="E199" i="1"/>
  <c r="E198" i="1"/>
  <c r="E197" i="1"/>
  <c r="E196" i="1"/>
  <c r="E195" i="1"/>
  <c r="E194" i="1"/>
  <c r="D204" i="1"/>
  <c r="D203" i="1"/>
  <c r="D202" i="1"/>
  <c r="D201" i="1"/>
  <c r="D200" i="1"/>
  <c r="D199" i="1"/>
  <c r="D196" i="1"/>
  <c r="D195" i="1"/>
  <c r="D194" i="1"/>
  <c r="C204" i="1"/>
  <c r="C201" i="1"/>
  <c r="C200" i="1"/>
  <c r="C199" i="1"/>
  <c r="C198" i="1"/>
  <c r="C196" i="1"/>
  <c r="C195" i="1"/>
  <c r="C194" i="1"/>
  <c r="O203" i="1"/>
  <c r="N203" i="1" s="1"/>
  <c r="O202" i="1"/>
  <c r="N202" i="1" s="1"/>
  <c r="O204" i="1"/>
  <c r="N204" i="1" s="1"/>
  <c r="O201" i="1"/>
  <c r="N201" i="1" s="1"/>
  <c r="O200" i="1"/>
  <c r="N200" i="1" s="1"/>
  <c r="O199" i="1"/>
  <c r="N199" i="1" s="1"/>
  <c r="O198" i="1"/>
  <c r="N198" i="1" s="1"/>
  <c r="O197" i="1"/>
  <c r="N197" i="1" s="1"/>
  <c r="O196" i="1"/>
  <c r="N196" i="1" s="1"/>
  <c r="O195" i="1"/>
  <c r="N195" i="1" s="1"/>
  <c r="O194" i="1"/>
  <c r="N194" i="1" s="1"/>
  <c r="O206" i="1"/>
  <c r="N206" i="1" s="1"/>
  <c r="F288" i="1"/>
  <c r="F287" i="1"/>
  <c r="F286" i="1"/>
  <c r="F285" i="1"/>
  <c r="F284" i="1"/>
  <c r="F283" i="1"/>
  <c r="F282" i="1"/>
  <c r="F281" i="1"/>
  <c r="F280" i="1"/>
  <c r="F279" i="1"/>
  <c r="E288" i="1"/>
  <c r="E287" i="1"/>
  <c r="E286" i="1"/>
  <c r="E285" i="1"/>
  <c r="E284" i="1"/>
  <c r="E283" i="1"/>
  <c r="E282" i="1"/>
  <c r="E281" i="1"/>
  <c r="E280" i="1"/>
  <c r="E279" i="1"/>
  <c r="F290" i="1"/>
  <c r="E290" i="1"/>
  <c r="D288" i="1"/>
  <c r="D287" i="1"/>
  <c r="D286" i="1"/>
  <c r="D285" i="1"/>
  <c r="D284" i="1"/>
  <c r="D283" i="1"/>
  <c r="D282" i="1"/>
  <c r="D281" i="1"/>
  <c r="D280" i="1"/>
  <c r="D279" i="1"/>
  <c r="D290" i="1"/>
  <c r="C290" i="1"/>
  <c r="C288" i="1"/>
  <c r="C287" i="1"/>
  <c r="C286" i="1"/>
  <c r="C285" i="1"/>
  <c r="C284" i="1"/>
  <c r="C283" i="1"/>
  <c r="C282" i="1"/>
  <c r="C281" i="1"/>
  <c r="C279" i="1"/>
  <c r="C280" i="1"/>
  <c r="O288" i="1"/>
  <c r="N288" i="1" s="1"/>
  <c r="O287" i="1"/>
  <c r="N287" i="1" s="1"/>
  <c r="O286" i="1"/>
  <c r="N286" i="1" s="1"/>
  <c r="O285" i="1"/>
  <c r="N285" i="1" s="1"/>
  <c r="O284" i="1"/>
  <c r="N284" i="1" s="1"/>
  <c r="O283" i="1"/>
  <c r="N283" i="1" s="1"/>
  <c r="O282" i="1"/>
  <c r="N282" i="1" s="1"/>
  <c r="O281" i="1"/>
  <c r="N281" i="1" s="1"/>
  <c r="O280" i="1"/>
  <c r="N280" i="1" s="1"/>
  <c r="O279" i="1"/>
  <c r="N279" i="1" s="1"/>
  <c r="O290" i="1" l="1"/>
  <c r="N290" i="1" s="1"/>
  <c r="O345" i="1"/>
  <c r="N345" i="1" s="1"/>
  <c r="O344" i="1"/>
  <c r="N344" i="1" s="1"/>
  <c r="O342" i="1"/>
  <c r="N342" i="1" s="1"/>
  <c r="O341" i="1"/>
  <c r="N341" i="1" s="1"/>
  <c r="O340" i="1"/>
  <c r="N340" i="1" s="1"/>
  <c r="O339" i="1"/>
  <c r="N339" i="1" s="1"/>
  <c r="O338" i="1"/>
  <c r="N338" i="1" s="1"/>
  <c r="O337" i="1"/>
  <c r="N337" i="1" s="1"/>
  <c r="O336" i="1"/>
  <c r="N336" i="1" s="1"/>
  <c r="O335" i="1"/>
  <c r="N335" i="1" s="1"/>
  <c r="O347" i="1"/>
  <c r="N347" i="1" s="1"/>
  <c r="J345" i="1"/>
  <c r="J344" i="1"/>
  <c r="J342" i="1"/>
  <c r="J341" i="1"/>
  <c r="J340" i="1"/>
  <c r="J339" i="1"/>
  <c r="J338" i="1"/>
  <c r="J337" i="1"/>
  <c r="J336" i="1"/>
  <c r="J335" i="1"/>
  <c r="I345" i="1"/>
  <c r="I344" i="1"/>
  <c r="I342" i="1"/>
  <c r="I341" i="1"/>
  <c r="I340" i="1"/>
  <c r="I339" i="1"/>
  <c r="I338" i="1"/>
  <c r="I337" i="1"/>
  <c r="I336" i="1"/>
  <c r="I335" i="1"/>
  <c r="H345" i="1"/>
  <c r="H344" i="1"/>
  <c r="H342" i="1"/>
  <c r="H341" i="1"/>
  <c r="H340" i="1"/>
  <c r="H339" i="1"/>
  <c r="H338" i="1"/>
  <c r="H337" i="1"/>
  <c r="H336" i="1"/>
  <c r="H335" i="1"/>
  <c r="G345" i="1"/>
  <c r="G344" i="1"/>
  <c r="G342" i="1"/>
  <c r="G341" i="1"/>
  <c r="G340" i="1"/>
  <c r="G339" i="1"/>
  <c r="G338" i="1"/>
  <c r="G337" i="1"/>
  <c r="G336" i="1"/>
  <c r="G335" i="1"/>
  <c r="F345" i="1"/>
  <c r="F344" i="1"/>
  <c r="F342" i="1"/>
  <c r="F341" i="1"/>
  <c r="F340" i="1"/>
  <c r="F339" i="1"/>
  <c r="F338" i="1"/>
  <c r="F337" i="1"/>
  <c r="F336" i="1"/>
  <c r="F335" i="1"/>
  <c r="N343" i="1"/>
  <c r="D343" i="1"/>
  <c r="D342" i="1"/>
  <c r="D341" i="1"/>
  <c r="J347" i="1"/>
  <c r="I347" i="1"/>
  <c r="H347" i="1"/>
  <c r="G347" i="1"/>
  <c r="F347" i="1"/>
  <c r="D347" i="1"/>
  <c r="D340" i="1"/>
  <c r="D339" i="1"/>
  <c r="D338" i="1"/>
  <c r="D337" i="1"/>
  <c r="D336" i="1"/>
  <c r="D335" i="1"/>
  <c r="O325" i="1"/>
  <c r="N325" i="1" s="1"/>
  <c r="O324" i="1"/>
  <c r="N324" i="1" s="1"/>
  <c r="O323" i="1"/>
  <c r="N323" i="1" s="1"/>
  <c r="O322" i="1"/>
  <c r="N322" i="1" s="1"/>
  <c r="O321" i="1"/>
  <c r="N321" i="1" s="1"/>
  <c r="O320" i="1"/>
  <c r="N320" i="1" s="1"/>
  <c r="O319" i="1"/>
  <c r="N319" i="1" s="1"/>
  <c r="J325" i="1"/>
  <c r="J324" i="1"/>
  <c r="J323" i="1"/>
  <c r="J322" i="1"/>
  <c r="J321" i="1"/>
  <c r="J320" i="1"/>
  <c r="J319" i="1"/>
  <c r="I325" i="1"/>
  <c r="I324" i="1"/>
  <c r="I323" i="1"/>
  <c r="I322" i="1"/>
  <c r="I321" i="1"/>
  <c r="I320" i="1"/>
  <c r="I319" i="1"/>
  <c r="H325" i="1"/>
  <c r="H324" i="1"/>
  <c r="H323" i="1"/>
  <c r="H322" i="1"/>
  <c r="H321" i="1"/>
  <c r="H320" i="1"/>
  <c r="H319" i="1"/>
  <c r="G325" i="1"/>
  <c r="G324" i="1"/>
  <c r="G323" i="1"/>
  <c r="G322" i="1"/>
  <c r="G321" i="1"/>
  <c r="G320" i="1"/>
  <c r="G319" i="1"/>
  <c r="O327" i="1"/>
  <c r="N327" i="1" s="1"/>
  <c r="F325" i="1"/>
  <c r="F324" i="1"/>
  <c r="F323" i="1"/>
  <c r="F322" i="1"/>
  <c r="F321" i="1"/>
  <c r="F320" i="1"/>
  <c r="F319" i="1"/>
  <c r="E325" i="1"/>
  <c r="E324" i="1"/>
  <c r="E323" i="1"/>
  <c r="E322" i="1"/>
  <c r="E321" i="1"/>
  <c r="E320" i="1"/>
  <c r="E319" i="1"/>
  <c r="D325" i="1"/>
  <c r="D324" i="1"/>
  <c r="D323" i="1"/>
  <c r="D322" i="1"/>
  <c r="D321" i="1"/>
  <c r="D320" i="1"/>
  <c r="D319" i="1"/>
  <c r="J327" i="1"/>
  <c r="I327" i="1"/>
  <c r="H327" i="1"/>
  <c r="G327" i="1"/>
  <c r="F327" i="1"/>
  <c r="E327" i="1"/>
  <c r="D327" i="1"/>
  <c r="O308" i="1"/>
  <c r="N308" i="1" s="1"/>
  <c r="O307" i="1"/>
  <c r="N307" i="1" s="1"/>
  <c r="O306" i="1"/>
  <c r="N306" i="1" s="1"/>
  <c r="O305" i="1"/>
  <c r="N305" i="1" s="1"/>
  <c r="O304" i="1"/>
  <c r="N304" i="1" s="1"/>
  <c r="O303" i="1"/>
  <c r="N303" i="1" s="1"/>
  <c r="O302" i="1"/>
  <c r="N302" i="1" s="1"/>
  <c r="O301" i="1"/>
  <c r="N301" i="1" s="1"/>
  <c r="O300" i="1"/>
  <c r="N300" i="1" s="1"/>
  <c r="O299" i="1"/>
  <c r="N299" i="1" s="1"/>
  <c r="O298" i="1"/>
  <c r="N298" i="1" s="1"/>
  <c r="O310" i="1"/>
  <c r="N310" i="1" s="1"/>
  <c r="K308" i="1"/>
  <c r="K307" i="1"/>
  <c r="K306" i="1"/>
  <c r="K305" i="1"/>
  <c r="K304" i="1"/>
  <c r="K303" i="1"/>
  <c r="K302" i="1"/>
  <c r="K301" i="1"/>
  <c r="K300" i="1"/>
  <c r="K299" i="1"/>
  <c r="K298" i="1"/>
  <c r="J308" i="1"/>
  <c r="J307" i="1"/>
  <c r="J306" i="1"/>
  <c r="J305" i="1"/>
  <c r="J304" i="1"/>
  <c r="J303" i="1"/>
  <c r="J302" i="1"/>
  <c r="J301" i="1"/>
  <c r="J300" i="1"/>
  <c r="J299" i="1"/>
  <c r="J298" i="1"/>
  <c r="I308" i="1"/>
  <c r="I307" i="1"/>
  <c r="I306" i="1"/>
  <c r="I305" i="1"/>
  <c r="I304" i="1"/>
  <c r="I303" i="1"/>
  <c r="I302" i="1"/>
  <c r="I301" i="1"/>
  <c r="I300" i="1"/>
  <c r="I299" i="1"/>
  <c r="I298" i="1"/>
  <c r="H308" i="1"/>
  <c r="H307" i="1"/>
  <c r="H306" i="1"/>
  <c r="H305" i="1"/>
  <c r="H304" i="1"/>
  <c r="H303" i="1"/>
  <c r="H302" i="1"/>
  <c r="H301" i="1"/>
  <c r="H300" i="1"/>
  <c r="H299" i="1"/>
  <c r="H298" i="1"/>
  <c r="G308" i="1"/>
  <c r="G307" i="1"/>
  <c r="G306" i="1"/>
  <c r="G305" i="1"/>
  <c r="G304" i="1"/>
  <c r="G303" i="1"/>
  <c r="G302" i="1"/>
  <c r="G301" i="1"/>
  <c r="G299" i="1"/>
  <c r="G298" i="1"/>
  <c r="F308" i="1"/>
  <c r="F307" i="1"/>
  <c r="F306" i="1"/>
  <c r="F305" i="1"/>
  <c r="F304" i="1"/>
  <c r="F303" i="1"/>
  <c r="F302" i="1"/>
  <c r="F301" i="1"/>
  <c r="F299" i="1"/>
  <c r="F298" i="1"/>
  <c r="E308" i="1"/>
  <c r="E307" i="1"/>
  <c r="E306" i="1"/>
  <c r="E305" i="1"/>
  <c r="E304" i="1"/>
  <c r="E303" i="1"/>
  <c r="E302" i="1"/>
  <c r="E301" i="1"/>
  <c r="E299" i="1"/>
  <c r="E298" i="1"/>
  <c r="D308" i="1"/>
  <c r="D307" i="1"/>
  <c r="D306" i="1"/>
  <c r="D305" i="1"/>
  <c r="D304" i="1"/>
  <c r="D303" i="1"/>
  <c r="D302" i="1"/>
  <c r="D301" i="1"/>
  <c r="D299" i="1"/>
  <c r="D298" i="1"/>
  <c r="K310" i="1"/>
  <c r="J310" i="1"/>
  <c r="I310" i="1"/>
  <c r="H310" i="1"/>
  <c r="G310" i="1"/>
  <c r="F310" i="1"/>
  <c r="E310" i="1"/>
  <c r="D310" i="1"/>
  <c r="O268" i="1"/>
  <c r="N268" i="1" s="1"/>
  <c r="O267" i="1"/>
  <c r="N267" i="1" s="1"/>
  <c r="O266" i="1"/>
  <c r="N266" i="1" s="1"/>
  <c r="O265" i="1"/>
  <c r="N265" i="1" s="1"/>
  <c r="O264" i="1"/>
  <c r="N264" i="1" s="1"/>
  <c r="O263" i="1"/>
  <c r="N263" i="1" s="1"/>
  <c r="O261" i="1"/>
  <c r="N261" i="1" s="1"/>
  <c r="O262" i="1"/>
  <c r="N262" i="1" s="1"/>
  <c r="O270" i="1"/>
  <c r="N270" i="1" s="1"/>
  <c r="K268" i="1"/>
  <c r="K267" i="1"/>
  <c r="K266" i="1"/>
  <c r="K265" i="1"/>
  <c r="K264" i="1"/>
  <c r="K263" i="1"/>
  <c r="K261" i="1"/>
  <c r="J268" i="1"/>
  <c r="J267" i="1"/>
  <c r="J266" i="1"/>
  <c r="J265" i="1"/>
  <c r="J264" i="1"/>
  <c r="J263" i="1"/>
  <c r="J261" i="1"/>
  <c r="I268" i="1"/>
  <c r="I267" i="1"/>
  <c r="I266" i="1"/>
  <c r="I265" i="1"/>
  <c r="I264" i="1"/>
  <c r="I263" i="1"/>
  <c r="I261" i="1"/>
  <c r="E268" i="1"/>
  <c r="E267" i="1"/>
  <c r="E266" i="1"/>
  <c r="E265" i="1"/>
  <c r="E262" i="1"/>
  <c r="E261" i="1"/>
  <c r="D268" i="1"/>
  <c r="D267" i="1"/>
  <c r="D266" i="1"/>
  <c r="D265" i="1"/>
  <c r="D262" i="1"/>
  <c r="D261" i="1"/>
  <c r="C268" i="1"/>
  <c r="C267" i="1"/>
  <c r="C266" i="1"/>
  <c r="C265" i="1"/>
  <c r="C262" i="1"/>
  <c r="C261" i="1"/>
  <c r="K270" i="1"/>
  <c r="J270" i="1"/>
  <c r="I270" i="1"/>
  <c r="E270" i="1"/>
  <c r="D270" i="1"/>
  <c r="C270" i="1"/>
  <c r="O251" i="1"/>
  <c r="N251" i="1" s="1"/>
  <c r="O250" i="1"/>
  <c r="N250" i="1" s="1"/>
  <c r="O249" i="1"/>
  <c r="N249" i="1" s="1"/>
  <c r="O248" i="1"/>
  <c r="N248" i="1" s="1"/>
  <c r="O247" i="1"/>
  <c r="N247" i="1" s="1"/>
  <c r="O246" i="1"/>
  <c r="N246" i="1" s="1"/>
  <c r="O245" i="1"/>
  <c r="N245" i="1" s="1"/>
  <c r="O244" i="1"/>
  <c r="N244" i="1" s="1"/>
  <c r="O243" i="1"/>
  <c r="N243" i="1" s="1"/>
  <c r="O242" i="1"/>
  <c r="N242" i="1" s="1"/>
  <c r="O241" i="1"/>
  <c r="N241" i="1" s="1"/>
  <c r="O240" i="1"/>
  <c r="N240" i="1" s="1"/>
  <c r="O238" i="1"/>
  <c r="N238" i="1" s="1"/>
  <c r="O253" i="1"/>
  <c r="N253" i="1" s="1"/>
  <c r="N239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8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8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8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8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8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8" i="1"/>
  <c r="J253" i="1"/>
  <c r="I253" i="1"/>
  <c r="H253" i="1"/>
  <c r="G253" i="1"/>
  <c r="F253" i="1"/>
  <c r="E253" i="1"/>
  <c r="D253" i="1"/>
  <c r="C253" i="1"/>
  <c r="C251" i="1"/>
  <c r="C250" i="1"/>
  <c r="C249" i="1"/>
  <c r="C248" i="1"/>
  <c r="C247" i="1"/>
  <c r="C246" i="1"/>
  <c r="C245" i="1"/>
  <c r="C244" i="1"/>
  <c r="C243" i="1"/>
  <c r="C242" i="1"/>
  <c r="C239" i="1"/>
  <c r="C238" i="1"/>
  <c r="O227" i="1"/>
  <c r="N227" i="1" s="1"/>
  <c r="O226" i="1"/>
  <c r="N226" i="1" s="1"/>
  <c r="O225" i="1"/>
  <c r="N225" i="1" s="1"/>
  <c r="O224" i="1"/>
  <c r="N224" i="1" s="1"/>
  <c r="O223" i="1"/>
  <c r="N223" i="1" s="1"/>
  <c r="O222" i="1"/>
  <c r="N222" i="1" s="1"/>
  <c r="O221" i="1"/>
  <c r="N221" i="1" s="1"/>
  <c r="O220" i="1"/>
  <c r="N220" i="1" s="1"/>
  <c r="O219" i="1"/>
  <c r="N219" i="1" s="1"/>
  <c r="O218" i="1"/>
  <c r="N218" i="1" s="1"/>
  <c r="O217" i="1"/>
  <c r="N217" i="1" s="1"/>
  <c r="O216" i="1"/>
  <c r="N216" i="1" s="1"/>
  <c r="O215" i="1"/>
  <c r="N215" i="1" s="1"/>
  <c r="O229" i="1"/>
  <c r="N229" i="1" s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I227" i="1"/>
  <c r="I226" i="1"/>
  <c r="I225" i="1"/>
  <c r="I224" i="1"/>
  <c r="I223" i="1"/>
  <c r="I222" i="1"/>
  <c r="I221" i="1"/>
  <c r="I220" i="1"/>
  <c r="I219" i="1"/>
  <c r="I218" i="1"/>
  <c r="I217" i="1"/>
  <c r="I215" i="1"/>
  <c r="H227" i="1"/>
  <c r="H226" i="1"/>
  <c r="H225" i="1"/>
  <c r="H224" i="1"/>
  <c r="H223" i="1"/>
  <c r="H222" i="1"/>
  <c r="H221" i="1"/>
  <c r="H220" i="1"/>
  <c r="H219" i="1"/>
  <c r="H218" i="1"/>
  <c r="H217" i="1"/>
  <c r="H215" i="1"/>
  <c r="G227" i="1"/>
  <c r="G226" i="1"/>
  <c r="G225" i="1"/>
  <c r="G224" i="1"/>
  <c r="G223" i="1"/>
  <c r="G222" i="1"/>
  <c r="G221" i="1"/>
  <c r="G220" i="1"/>
  <c r="G219" i="1"/>
  <c r="G218" i="1"/>
  <c r="G217" i="1"/>
  <c r="G215" i="1"/>
  <c r="F227" i="1"/>
  <c r="F226" i="1"/>
  <c r="F225" i="1"/>
  <c r="F224" i="1"/>
  <c r="F223" i="1"/>
  <c r="F222" i="1"/>
  <c r="F221" i="1"/>
  <c r="F220" i="1"/>
  <c r="F219" i="1"/>
  <c r="F218" i="1"/>
  <c r="F217" i="1"/>
  <c r="F215" i="1"/>
  <c r="E227" i="1"/>
  <c r="E226" i="1"/>
  <c r="E225" i="1"/>
  <c r="E224" i="1"/>
  <c r="E223" i="1"/>
  <c r="E222" i="1"/>
  <c r="E221" i="1"/>
  <c r="E220" i="1"/>
  <c r="E219" i="1"/>
  <c r="E218" i="1"/>
  <c r="E217" i="1"/>
  <c r="E215" i="1"/>
  <c r="L229" i="1"/>
  <c r="K229" i="1"/>
  <c r="J229" i="1"/>
  <c r="I229" i="1"/>
  <c r="H229" i="1"/>
  <c r="G229" i="1"/>
  <c r="F229" i="1"/>
  <c r="E229" i="1"/>
  <c r="O183" i="1"/>
  <c r="N183" i="1" s="1"/>
  <c r="O182" i="1"/>
  <c r="N182" i="1" s="1"/>
  <c r="O181" i="1"/>
  <c r="N181" i="1" s="1"/>
  <c r="O180" i="1"/>
  <c r="N180" i="1" s="1"/>
  <c r="O179" i="1"/>
  <c r="N179" i="1" s="1"/>
  <c r="O175" i="1"/>
  <c r="N175" i="1" s="1"/>
  <c r="O176" i="1"/>
  <c r="N176" i="1" s="1"/>
  <c r="O178" i="1"/>
  <c r="N178" i="1" s="1"/>
  <c r="O177" i="1"/>
  <c r="N177" i="1" s="1"/>
  <c r="O185" i="1"/>
  <c r="N185" i="1" s="1"/>
  <c r="J183" i="1"/>
  <c r="J182" i="1"/>
  <c r="J181" i="1"/>
  <c r="J180" i="1"/>
  <c r="J179" i="1"/>
  <c r="J178" i="1"/>
  <c r="J177" i="1"/>
  <c r="J175" i="1"/>
  <c r="I183" i="1"/>
  <c r="I182" i="1"/>
  <c r="I181" i="1"/>
  <c r="I180" i="1"/>
  <c r="I179" i="1"/>
  <c r="I178" i="1"/>
  <c r="I177" i="1"/>
  <c r="I175" i="1"/>
  <c r="H183" i="1"/>
  <c r="H182" i="1"/>
  <c r="H181" i="1"/>
  <c r="H180" i="1"/>
  <c r="H179" i="1"/>
  <c r="H178" i="1"/>
  <c r="H177" i="1"/>
  <c r="H175" i="1"/>
  <c r="G183" i="1"/>
  <c r="G182" i="1"/>
  <c r="G181" i="1"/>
  <c r="G180" i="1"/>
  <c r="G179" i="1"/>
  <c r="G176" i="1"/>
  <c r="G175" i="1"/>
  <c r="F183" i="1"/>
  <c r="F182" i="1"/>
  <c r="F181" i="1"/>
  <c r="F180" i="1"/>
  <c r="F179" i="1"/>
  <c r="F176" i="1"/>
  <c r="F175" i="1"/>
  <c r="E183" i="1"/>
  <c r="E182" i="1"/>
  <c r="E181" i="1"/>
  <c r="E180" i="1"/>
  <c r="E179" i="1"/>
  <c r="E176" i="1"/>
  <c r="E175" i="1"/>
  <c r="J185" i="1"/>
  <c r="I185" i="1"/>
  <c r="H185" i="1"/>
  <c r="G185" i="1"/>
  <c r="F185" i="1"/>
  <c r="E185" i="1"/>
  <c r="D185" i="1"/>
  <c r="D183" i="1"/>
  <c r="D182" i="1"/>
  <c r="D181" i="1"/>
  <c r="D180" i="1"/>
  <c r="D179" i="1"/>
  <c r="D176" i="1"/>
  <c r="D175" i="1"/>
  <c r="O164" i="1"/>
  <c r="N164" i="1" s="1"/>
  <c r="O163" i="1"/>
  <c r="N163" i="1" s="1"/>
  <c r="O162" i="1"/>
  <c r="N162" i="1" s="1"/>
  <c r="O158" i="1"/>
  <c r="N158" i="1" s="1"/>
  <c r="O159" i="1"/>
  <c r="N159" i="1" s="1"/>
  <c r="O161" i="1"/>
  <c r="N161" i="1" s="1"/>
  <c r="O160" i="1"/>
  <c r="N160" i="1" s="1"/>
  <c r="O166" i="1"/>
  <c r="N166" i="1" s="1"/>
  <c r="J164" i="1"/>
  <c r="J163" i="1"/>
  <c r="J162" i="1"/>
  <c r="J161" i="1"/>
  <c r="J160" i="1"/>
  <c r="J158" i="1"/>
  <c r="I164" i="1"/>
  <c r="I163" i="1"/>
  <c r="I162" i="1"/>
  <c r="I161" i="1"/>
  <c r="I160" i="1"/>
  <c r="I158" i="1"/>
  <c r="H164" i="1"/>
  <c r="H163" i="1"/>
  <c r="H162" i="1"/>
  <c r="H161" i="1"/>
  <c r="H160" i="1"/>
  <c r="H158" i="1"/>
  <c r="G164" i="1"/>
  <c r="G163" i="1"/>
  <c r="G162" i="1"/>
  <c r="G159" i="1"/>
  <c r="G158" i="1"/>
  <c r="F164" i="1"/>
  <c r="F163" i="1"/>
  <c r="F162" i="1"/>
  <c r="F159" i="1"/>
  <c r="F158" i="1"/>
  <c r="E164" i="1"/>
  <c r="E163" i="1"/>
  <c r="E162" i="1"/>
  <c r="E159" i="1"/>
  <c r="E158" i="1"/>
  <c r="J166" i="1"/>
  <c r="I166" i="1"/>
  <c r="H166" i="1"/>
  <c r="G166" i="1"/>
  <c r="F166" i="1"/>
  <c r="E166" i="1"/>
  <c r="D166" i="1"/>
  <c r="D164" i="1"/>
  <c r="D163" i="1"/>
  <c r="D162" i="1"/>
  <c r="D159" i="1"/>
  <c r="D158" i="1"/>
  <c r="N44" i="1" l="1"/>
  <c r="O43" i="1"/>
  <c r="N43" i="1" s="1"/>
  <c r="O42" i="1"/>
  <c r="N42" i="1" s="1"/>
  <c r="O41" i="1"/>
  <c r="N41" i="1" s="1"/>
  <c r="O40" i="1"/>
  <c r="N40" i="1" s="1"/>
  <c r="O39" i="1"/>
  <c r="N39" i="1" s="1"/>
  <c r="O38" i="1"/>
  <c r="N38" i="1" s="1"/>
  <c r="O37" i="1"/>
  <c r="N37" i="1" s="1"/>
  <c r="O36" i="1"/>
  <c r="N36" i="1" s="1"/>
  <c r="O35" i="1"/>
  <c r="N35" i="1" s="1"/>
  <c r="O34" i="1"/>
  <c r="N34" i="1" s="1"/>
  <c r="O33" i="1"/>
  <c r="N33" i="1" s="1"/>
  <c r="O32" i="1"/>
  <c r="N32" i="1" s="1"/>
  <c r="O31" i="1"/>
  <c r="N31" i="1" s="1"/>
  <c r="O45" i="1"/>
  <c r="N45" i="1" s="1"/>
  <c r="O47" i="1"/>
  <c r="N47" i="1" s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H47" i="1"/>
  <c r="J47" i="1"/>
  <c r="I47" i="1"/>
  <c r="G47" i="1"/>
  <c r="F47" i="1"/>
  <c r="E47" i="1"/>
  <c r="D47" i="1"/>
  <c r="C47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O19" i="1"/>
  <c r="N19" i="1" s="1"/>
  <c r="O18" i="1"/>
  <c r="N18" i="1" s="1"/>
  <c r="O16" i="1"/>
  <c r="N16" i="1" s="1"/>
  <c r="O17" i="1"/>
  <c r="N17" i="1" s="1"/>
  <c r="O15" i="1"/>
  <c r="N15" i="1" s="1"/>
  <c r="O14" i="1"/>
  <c r="N14" i="1" s="1"/>
  <c r="O13" i="1"/>
  <c r="N13" i="1" s="1"/>
  <c r="O12" i="1"/>
  <c r="N12" i="1" s="1"/>
  <c r="O10" i="1"/>
  <c r="N10" i="1" s="1"/>
  <c r="O9" i="1"/>
  <c r="N9" i="1" s="1"/>
  <c r="O8" i="1"/>
  <c r="N8" i="1" s="1"/>
  <c r="O7" i="1"/>
  <c r="N7" i="1" s="1"/>
  <c r="O21" i="1"/>
  <c r="N21" i="1" s="1"/>
  <c r="K19" i="1"/>
  <c r="K18" i="1"/>
  <c r="K17" i="1"/>
  <c r="K16" i="1"/>
  <c r="K15" i="1"/>
  <c r="K14" i="1"/>
  <c r="K13" i="1"/>
  <c r="K12" i="1"/>
  <c r="K10" i="1"/>
  <c r="K9" i="1"/>
  <c r="K8" i="1"/>
  <c r="K7" i="1"/>
  <c r="J19" i="1"/>
  <c r="J18" i="1"/>
  <c r="J17" i="1"/>
  <c r="J16" i="1"/>
  <c r="J15" i="1"/>
  <c r="J14" i="1"/>
  <c r="J13" i="1"/>
  <c r="J12" i="1"/>
  <c r="J10" i="1"/>
  <c r="J9" i="1"/>
  <c r="J8" i="1"/>
  <c r="J7" i="1"/>
  <c r="I19" i="1"/>
  <c r="I18" i="1"/>
  <c r="I17" i="1"/>
  <c r="I16" i="1"/>
  <c r="I15" i="1"/>
  <c r="I14" i="1"/>
  <c r="I13" i="1"/>
  <c r="I12" i="1"/>
  <c r="I10" i="1"/>
  <c r="I9" i="1"/>
  <c r="I8" i="1"/>
  <c r="I7" i="1"/>
  <c r="H19" i="1"/>
  <c r="H18" i="1"/>
  <c r="H17" i="1"/>
  <c r="H16" i="1"/>
  <c r="H15" i="1"/>
  <c r="H14" i="1"/>
  <c r="H13" i="1"/>
  <c r="H12" i="1"/>
  <c r="H10" i="1"/>
  <c r="H9" i="1"/>
  <c r="H8" i="1"/>
  <c r="H7" i="1"/>
  <c r="G19" i="1"/>
  <c r="G18" i="1"/>
  <c r="G17" i="1"/>
  <c r="G16" i="1"/>
  <c r="G15" i="1"/>
  <c r="G14" i="1"/>
  <c r="G13" i="1"/>
  <c r="G12" i="1"/>
  <c r="G10" i="1"/>
  <c r="G9" i="1"/>
  <c r="G8" i="1"/>
  <c r="G7" i="1"/>
  <c r="F9" i="1"/>
  <c r="F19" i="1"/>
  <c r="F18" i="1"/>
  <c r="F17" i="1"/>
  <c r="F16" i="1"/>
  <c r="F15" i="1"/>
  <c r="F14" i="1"/>
  <c r="F13" i="1"/>
  <c r="F12" i="1"/>
  <c r="F10" i="1"/>
  <c r="F8" i="1"/>
  <c r="F7" i="1"/>
  <c r="E19" i="1"/>
  <c r="E18" i="1"/>
  <c r="E16" i="1"/>
  <c r="E14" i="1"/>
  <c r="E13" i="1"/>
  <c r="E12" i="1"/>
  <c r="E10" i="1"/>
  <c r="E9" i="1"/>
  <c r="E8" i="1"/>
  <c r="E7" i="1"/>
  <c r="D19" i="1"/>
  <c r="D18" i="1"/>
  <c r="D16" i="1"/>
  <c r="D14" i="1"/>
  <c r="D13" i="1"/>
  <c r="D12" i="1"/>
  <c r="D10" i="1"/>
  <c r="D9" i="1"/>
  <c r="D8" i="1"/>
  <c r="D7" i="1"/>
  <c r="O84" i="1"/>
  <c r="N84" i="1" s="1"/>
  <c r="N11" i="1"/>
  <c r="K21" i="1"/>
  <c r="J21" i="1"/>
  <c r="I21" i="1"/>
  <c r="H21" i="1"/>
  <c r="G21" i="1"/>
  <c r="F21" i="1"/>
  <c r="E21" i="1"/>
  <c r="D21" i="1"/>
  <c r="C21" i="1"/>
  <c r="C16" i="1"/>
  <c r="C14" i="1"/>
  <c r="C11" i="1"/>
  <c r="C10" i="1"/>
  <c r="C9" i="1"/>
  <c r="C8" i="1"/>
  <c r="C19" i="1"/>
  <c r="C18" i="1"/>
  <c r="C7" i="1"/>
  <c r="O82" i="1"/>
  <c r="N82" i="1" s="1"/>
  <c r="O81" i="1"/>
  <c r="N81" i="1" s="1"/>
  <c r="O80" i="1"/>
  <c r="N80" i="1" s="1"/>
  <c r="O79" i="1"/>
  <c r="N79" i="1" s="1"/>
  <c r="O78" i="1"/>
  <c r="N78" i="1" s="1"/>
  <c r="O77" i="1"/>
  <c r="N77" i="1" s="1"/>
  <c r="O76" i="1"/>
  <c r="N76" i="1" s="1"/>
  <c r="O75" i="1"/>
  <c r="N75" i="1" s="1"/>
  <c r="J82" i="1"/>
  <c r="J81" i="1"/>
  <c r="J80" i="1"/>
  <c r="J79" i="1"/>
  <c r="J78" i="1"/>
  <c r="J77" i="1"/>
  <c r="J76" i="1"/>
  <c r="I82" i="1"/>
  <c r="I81" i="1"/>
  <c r="I80" i="1"/>
  <c r="I79" i="1"/>
  <c r="I78" i="1"/>
  <c r="I77" i="1"/>
  <c r="I76" i="1"/>
  <c r="H82" i="1"/>
  <c r="H81" i="1"/>
  <c r="H80" i="1"/>
  <c r="H79" i="1"/>
  <c r="H78" i="1"/>
  <c r="H77" i="1"/>
  <c r="H76" i="1"/>
  <c r="J84" i="1"/>
  <c r="I84" i="1"/>
  <c r="H84" i="1"/>
  <c r="G84" i="1"/>
  <c r="G82" i="1"/>
  <c r="G81" i="1"/>
  <c r="G80" i="1"/>
  <c r="G79" i="1"/>
  <c r="G78" i="1"/>
  <c r="G77" i="1"/>
  <c r="G76" i="1"/>
  <c r="F84" i="1"/>
  <c r="F82" i="1"/>
  <c r="F81" i="1"/>
  <c r="F80" i="1"/>
  <c r="F79" i="1"/>
  <c r="F78" i="1"/>
  <c r="E84" i="1"/>
  <c r="F75" i="1"/>
  <c r="E82" i="1"/>
  <c r="E78" i="1"/>
  <c r="E75" i="1"/>
  <c r="O103" i="1"/>
  <c r="N103" i="1" s="1"/>
  <c r="O101" i="1"/>
  <c r="N101" i="1" s="1"/>
  <c r="O100" i="1"/>
  <c r="N100" i="1" s="1"/>
  <c r="O99" i="1"/>
  <c r="N99" i="1" s="1"/>
  <c r="O98" i="1"/>
  <c r="N98" i="1" s="1"/>
  <c r="N97" i="1"/>
  <c r="O96" i="1"/>
  <c r="N96" i="1" s="1"/>
  <c r="K103" i="1"/>
  <c r="K101" i="1"/>
  <c r="K100" i="1"/>
  <c r="K99" i="1"/>
  <c r="K98" i="1"/>
  <c r="K96" i="1"/>
  <c r="J103" i="1"/>
  <c r="J101" i="1"/>
  <c r="J100" i="1"/>
  <c r="J99" i="1"/>
  <c r="J98" i="1"/>
  <c r="J96" i="1"/>
  <c r="I103" i="1"/>
  <c r="I101" i="1"/>
  <c r="I100" i="1"/>
  <c r="I99" i="1"/>
  <c r="I98" i="1"/>
  <c r="I96" i="1"/>
  <c r="H103" i="1"/>
  <c r="H101" i="1"/>
  <c r="H100" i="1"/>
  <c r="H99" i="1"/>
  <c r="H98" i="1"/>
  <c r="H96" i="1"/>
  <c r="G103" i="1"/>
  <c r="G101" i="1"/>
  <c r="G100" i="1"/>
  <c r="G99" i="1"/>
  <c r="G98" i="1"/>
  <c r="G96" i="1"/>
  <c r="E103" i="1"/>
  <c r="F103" i="1"/>
  <c r="F101" i="1"/>
  <c r="F100" i="1"/>
  <c r="F99" i="1"/>
  <c r="F98" i="1"/>
  <c r="F96" i="1"/>
  <c r="E101" i="1"/>
  <c r="E100" i="1"/>
  <c r="E99" i="1"/>
  <c r="E98" i="1"/>
  <c r="E96" i="1"/>
  <c r="O122" i="1"/>
  <c r="N122" i="1" s="1"/>
  <c r="O121" i="1"/>
  <c r="N121" i="1" s="1"/>
  <c r="O120" i="1"/>
  <c r="N120" i="1" s="1"/>
  <c r="O119" i="1"/>
  <c r="N119" i="1" s="1"/>
  <c r="O118" i="1"/>
  <c r="N118" i="1" s="1"/>
  <c r="O117" i="1"/>
  <c r="N117" i="1" s="1"/>
  <c r="O116" i="1"/>
  <c r="N116" i="1" s="1"/>
  <c r="O115" i="1"/>
  <c r="N115" i="1" s="1"/>
  <c r="O114" i="1"/>
  <c r="N114" i="1" s="1"/>
  <c r="O113" i="1"/>
  <c r="N113" i="1" s="1"/>
  <c r="O124" i="1"/>
  <c r="N124" i="1" s="1"/>
  <c r="K122" i="1"/>
  <c r="K121" i="1"/>
  <c r="K120" i="1"/>
  <c r="K119" i="1"/>
  <c r="K118" i="1"/>
  <c r="K117" i="1"/>
  <c r="K116" i="1"/>
  <c r="K115" i="1"/>
  <c r="K114" i="1"/>
  <c r="K113" i="1"/>
  <c r="J122" i="1"/>
  <c r="J121" i="1"/>
  <c r="J120" i="1"/>
  <c r="J119" i="1"/>
  <c r="J118" i="1"/>
  <c r="J117" i="1"/>
  <c r="J116" i="1"/>
  <c r="J115" i="1"/>
  <c r="J114" i="1"/>
  <c r="J113" i="1"/>
  <c r="I116" i="1"/>
  <c r="I117" i="1"/>
  <c r="I118" i="1"/>
  <c r="I119" i="1"/>
  <c r="I120" i="1"/>
  <c r="I121" i="1"/>
  <c r="I122" i="1"/>
  <c r="I115" i="1"/>
  <c r="I114" i="1"/>
  <c r="I113" i="1"/>
  <c r="H122" i="1"/>
  <c r="H121" i="1"/>
  <c r="H120" i="1"/>
  <c r="H119" i="1"/>
  <c r="H118" i="1"/>
  <c r="H117" i="1"/>
  <c r="H116" i="1"/>
  <c r="H115" i="1"/>
  <c r="H114" i="1"/>
  <c r="H113" i="1"/>
  <c r="K124" i="1"/>
  <c r="J124" i="1"/>
  <c r="I124" i="1"/>
  <c r="H124" i="1"/>
  <c r="D124" i="1"/>
  <c r="E124" i="1"/>
  <c r="F124" i="1"/>
  <c r="G124" i="1"/>
  <c r="G122" i="1"/>
  <c r="G121" i="1"/>
  <c r="G120" i="1"/>
  <c r="G119" i="1"/>
  <c r="G118" i="1"/>
  <c r="G117" i="1"/>
  <c r="G116" i="1"/>
  <c r="G115" i="1"/>
  <c r="G114" i="1"/>
  <c r="G113" i="1"/>
  <c r="F122" i="1"/>
  <c r="F121" i="1"/>
  <c r="F120" i="1"/>
  <c r="F119" i="1"/>
  <c r="F118" i="1"/>
  <c r="F117" i="1"/>
  <c r="F116" i="1"/>
  <c r="F115" i="1"/>
  <c r="F114" i="1"/>
  <c r="F113" i="1"/>
  <c r="E122" i="1"/>
  <c r="E121" i="1"/>
  <c r="E120" i="1"/>
  <c r="E119" i="1"/>
  <c r="E118" i="1"/>
  <c r="E117" i="1"/>
  <c r="E116" i="1"/>
  <c r="E115" i="1"/>
  <c r="E114" i="1"/>
  <c r="E113" i="1"/>
  <c r="D122" i="1"/>
  <c r="D121" i="1"/>
  <c r="D120" i="1"/>
  <c r="D119" i="1"/>
  <c r="D118" i="1"/>
  <c r="D117" i="1"/>
  <c r="D116" i="1"/>
  <c r="D115" i="1"/>
  <c r="D114" i="1"/>
  <c r="D113" i="1"/>
  <c r="C122" i="1"/>
  <c r="C121" i="1"/>
  <c r="C120" i="1"/>
  <c r="C124" i="1"/>
  <c r="C119" i="1"/>
  <c r="C118" i="1"/>
  <c r="C117" i="1"/>
  <c r="C116" i="1"/>
  <c r="C115" i="1"/>
  <c r="C114" i="1"/>
  <c r="C113" i="1"/>
  <c r="O148" i="1" l="1"/>
  <c r="N148" i="1" s="1"/>
  <c r="O67" i="1"/>
  <c r="N67" i="1" s="1"/>
  <c r="O65" i="1"/>
  <c r="N65" i="1" s="1"/>
  <c r="O64" i="1"/>
  <c r="N64" i="1" s="1"/>
  <c r="O63" i="1"/>
  <c r="N63" i="1" s="1"/>
  <c r="O62" i="1"/>
  <c r="N62" i="1" s="1"/>
  <c r="O61" i="1"/>
  <c r="N61" i="1" s="1"/>
  <c r="O60" i="1"/>
  <c r="N60" i="1" s="1"/>
  <c r="O59" i="1"/>
  <c r="N59" i="1" s="1"/>
  <c r="O58" i="1"/>
  <c r="N58" i="1" s="1"/>
  <c r="O57" i="1"/>
  <c r="N57" i="1" s="1"/>
  <c r="O56" i="1"/>
  <c r="N56" i="1" s="1"/>
  <c r="G65" i="1"/>
  <c r="G64" i="1"/>
  <c r="G63" i="1"/>
  <c r="G62" i="1"/>
  <c r="G61" i="1"/>
  <c r="G60" i="1"/>
  <c r="G59" i="1"/>
  <c r="G58" i="1"/>
  <c r="G57" i="1"/>
  <c r="H61" i="1"/>
  <c r="H60" i="1"/>
  <c r="L65" i="1"/>
  <c r="L64" i="1"/>
  <c r="L63" i="1"/>
  <c r="L62" i="1"/>
  <c r="L61" i="1"/>
  <c r="L60" i="1"/>
  <c r="L59" i="1"/>
  <c r="L58" i="1"/>
  <c r="L57" i="1"/>
  <c r="L56" i="1"/>
  <c r="J146" i="1"/>
  <c r="J145" i="1"/>
  <c r="J144" i="1"/>
  <c r="J143" i="1"/>
  <c r="J142" i="1"/>
  <c r="J141" i="1"/>
  <c r="J140" i="1"/>
  <c r="J139" i="1"/>
  <c r="J137" i="1"/>
  <c r="J136" i="1"/>
  <c r="J135" i="1"/>
  <c r="J134" i="1"/>
  <c r="O137" i="1"/>
  <c r="N137" i="1" s="1"/>
  <c r="O136" i="1"/>
  <c r="N136" i="1" s="1"/>
  <c r="F145" i="1"/>
  <c r="F144" i="1"/>
  <c r="F143" i="1"/>
  <c r="F142" i="1"/>
  <c r="F141" i="1"/>
  <c r="F140" i="1"/>
  <c r="F139" i="1"/>
  <c r="F138" i="1"/>
  <c r="F135" i="1"/>
  <c r="F134" i="1"/>
  <c r="O144" i="1"/>
  <c r="N144" i="1" s="1"/>
  <c r="O146" i="1"/>
  <c r="N146" i="1" s="1"/>
  <c r="O145" i="1"/>
  <c r="N145" i="1" s="1"/>
  <c r="O143" i="1"/>
  <c r="N143" i="1" s="1"/>
  <c r="O142" i="1"/>
  <c r="N142" i="1" s="1"/>
  <c r="O141" i="1"/>
  <c r="N141" i="1" s="1"/>
  <c r="O140" i="1"/>
  <c r="N140" i="1" s="1"/>
  <c r="O139" i="1"/>
  <c r="N139" i="1" s="1"/>
  <c r="O135" i="1"/>
  <c r="N135" i="1" s="1"/>
  <c r="O134" i="1"/>
  <c r="N134" i="1" s="1"/>
  <c r="O138" i="1"/>
  <c r="N138" i="1" s="1"/>
  <c r="K65" i="1" l="1"/>
  <c r="K64" i="1"/>
  <c r="K63" i="1"/>
  <c r="K62" i="1"/>
  <c r="K61" i="1"/>
  <c r="K60" i="1"/>
  <c r="K59" i="1"/>
  <c r="K58" i="1"/>
  <c r="K57" i="1"/>
  <c r="K56" i="1"/>
  <c r="J65" i="1"/>
  <c r="J64" i="1"/>
  <c r="J63" i="1"/>
  <c r="J62" i="1"/>
  <c r="J61" i="1"/>
  <c r="J60" i="1"/>
  <c r="J59" i="1"/>
  <c r="J58" i="1"/>
  <c r="J57" i="1"/>
  <c r="J56" i="1"/>
  <c r="L146" i="1" l="1"/>
  <c r="L145" i="1"/>
  <c r="L144" i="1"/>
  <c r="L143" i="1"/>
  <c r="L142" i="1"/>
  <c r="L141" i="1"/>
  <c r="L140" i="1"/>
  <c r="L139" i="1"/>
  <c r="L137" i="1"/>
  <c r="L136" i="1"/>
  <c r="L135" i="1"/>
  <c r="L134" i="1"/>
  <c r="K146" i="1"/>
  <c r="K145" i="1"/>
  <c r="K144" i="1"/>
  <c r="K143" i="1"/>
  <c r="K142" i="1"/>
  <c r="K141" i="1"/>
  <c r="K140" i="1"/>
  <c r="K139" i="1"/>
  <c r="K137" i="1"/>
  <c r="K136" i="1"/>
  <c r="K135" i="1"/>
  <c r="K134" i="1"/>
  <c r="I145" i="1"/>
  <c r="I144" i="1"/>
  <c r="I143" i="1"/>
  <c r="I142" i="1"/>
  <c r="I141" i="1"/>
  <c r="I140" i="1"/>
  <c r="I139" i="1"/>
  <c r="I137" i="1"/>
  <c r="I136" i="1"/>
  <c r="I135" i="1"/>
  <c r="I134" i="1"/>
  <c r="H145" i="1"/>
  <c r="H144" i="1"/>
  <c r="H143" i="1"/>
  <c r="H142" i="1"/>
  <c r="H141" i="1"/>
  <c r="H140" i="1"/>
  <c r="H139" i="1"/>
  <c r="H137" i="1"/>
  <c r="H136" i="1"/>
  <c r="H135" i="1"/>
  <c r="H134" i="1"/>
  <c r="G145" i="1"/>
  <c r="G144" i="1"/>
  <c r="G143" i="1"/>
  <c r="G142" i="1"/>
  <c r="G141" i="1"/>
  <c r="G140" i="1"/>
  <c r="G139" i="1"/>
  <c r="G137" i="1"/>
  <c r="G136" i="1"/>
  <c r="G135" i="1"/>
  <c r="G134" i="1"/>
  <c r="E145" i="1"/>
  <c r="E144" i="1"/>
  <c r="E143" i="1"/>
  <c r="E142" i="1"/>
  <c r="E141" i="1"/>
  <c r="E140" i="1"/>
  <c r="E139" i="1"/>
  <c r="E138" i="1"/>
  <c r="E135" i="1"/>
  <c r="E134" i="1"/>
  <c r="D145" i="1"/>
  <c r="D144" i="1"/>
  <c r="D143" i="1"/>
  <c r="D142" i="1"/>
  <c r="D141" i="1"/>
  <c r="D140" i="1"/>
  <c r="D139" i="1"/>
  <c r="D138" i="1"/>
  <c r="D135" i="1"/>
  <c r="D134" i="1"/>
  <c r="C145" i="1"/>
  <c r="C144" i="1"/>
  <c r="C143" i="1"/>
  <c r="C142" i="1"/>
  <c r="C141" i="1"/>
  <c r="C140" i="1"/>
  <c r="C139" i="1"/>
  <c r="C138" i="1"/>
  <c r="C135" i="1"/>
  <c r="C134" i="1"/>
  <c r="I65" i="1"/>
  <c r="I64" i="1"/>
  <c r="I63" i="1"/>
  <c r="I62" i="1"/>
  <c r="I60" i="1"/>
  <c r="I61" i="1"/>
  <c r="I59" i="1"/>
  <c r="I58" i="1"/>
  <c r="I57" i="1"/>
  <c r="I56" i="1"/>
  <c r="H65" i="1"/>
  <c r="H64" i="1"/>
  <c r="H63" i="1"/>
  <c r="H62" i="1"/>
  <c r="H59" i="1"/>
  <c r="H58" i="1"/>
  <c r="H57" i="1"/>
  <c r="H56" i="1"/>
  <c r="F65" i="1"/>
  <c r="F64" i="1"/>
  <c r="F63" i="1"/>
  <c r="F62" i="1"/>
  <c r="F61" i="1"/>
  <c r="F60" i="1"/>
  <c r="F59" i="1"/>
  <c r="F58" i="1"/>
  <c r="F57" i="1"/>
  <c r="E65" i="1"/>
  <c r="E64" i="1"/>
  <c r="E63" i="1"/>
  <c r="E62" i="1"/>
  <c r="E61" i="1"/>
  <c r="E60" i="1"/>
  <c r="E59" i="1"/>
  <c r="E58" i="1"/>
  <c r="E57" i="1"/>
  <c r="D65" i="1"/>
  <c r="D64" i="1"/>
  <c r="D63" i="1"/>
  <c r="D62" i="1"/>
  <c r="D61" i="1"/>
  <c r="D60" i="1"/>
  <c r="D59" i="1"/>
  <c r="D58" i="1"/>
  <c r="D57" i="1"/>
  <c r="C65" i="1"/>
  <c r="C64" i="1"/>
  <c r="C63" i="1"/>
  <c r="C62" i="1"/>
  <c r="C61" i="1"/>
  <c r="C60" i="1"/>
  <c r="C59" i="1"/>
  <c r="C58" i="1"/>
  <c r="C57" i="1"/>
</calcChain>
</file>

<file path=xl/sharedStrings.xml><?xml version="1.0" encoding="utf-8"?>
<sst xmlns="http://schemas.openxmlformats.org/spreadsheetml/2006/main" count="454" uniqueCount="251">
  <si>
    <t>Holtamannahreppur</t>
  </si>
  <si>
    <t>Landmannahreppur</t>
  </si>
  <si>
    <t>Rangárvallasýsla</t>
  </si>
  <si>
    <t>Ásahreppur</t>
  </si>
  <si>
    <t>Rangárvallahreppur</t>
  </si>
  <si>
    <t>Hvolhreppur</t>
  </si>
  <si>
    <t>Fljótshlíðarhreppur</t>
  </si>
  <si>
    <t>Vestur-Landeyjahreppur</t>
  </si>
  <si>
    <t>Austur-Landeyjahreppur</t>
  </si>
  <si>
    <t>Vestur-Eyjafjallahreppur</t>
  </si>
  <si>
    <t>Austur-Eyjafjallahreppur</t>
  </si>
  <si>
    <t>Meðaltals kjörsókn</t>
  </si>
  <si>
    <t>Norður-Múlasýsla</t>
  </si>
  <si>
    <t>Skeggjastaðahreppur</t>
  </si>
  <si>
    <t>Vopnafjarðarhreppur</t>
  </si>
  <si>
    <t>Jökuldals- og Hlíðarhreppur</t>
  </si>
  <si>
    <t>Tunguhreppur</t>
  </si>
  <si>
    <t>Fellahreppur</t>
  </si>
  <si>
    <t>Fljótsdalshreppur</t>
  </si>
  <si>
    <t>Hjaltastaðarhreppur</t>
  </si>
  <si>
    <t>Borgarfjarðarhreppur</t>
  </si>
  <si>
    <t>Loðmundarfjarðarhreppur</t>
  </si>
  <si>
    <t>Seyðisfjarðarhreppur</t>
  </si>
  <si>
    <t>Seyðisfjarðarkaupstaður</t>
  </si>
  <si>
    <t>Jökuldalshreppur</t>
  </si>
  <si>
    <t>Hlíðarhreppur</t>
  </si>
  <si>
    <t xml:space="preserve">Meðaltal </t>
  </si>
  <si>
    <t>kjósenda</t>
  </si>
  <si>
    <t xml:space="preserve"> </t>
  </si>
  <si>
    <t>90-100%</t>
  </si>
  <si>
    <t>Suður-Múlasýsla</t>
  </si>
  <si>
    <t>Vallahreppur</t>
  </si>
  <si>
    <t>Eiðahreppur</t>
  </si>
  <si>
    <t>Geithellnahreppur</t>
  </si>
  <si>
    <t>Beruneshreppur</t>
  </si>
  <si>
    <t>Breiðdalshreppur</t>
  </si>
  <si>
    <t>Fáskrúðsfjarðarhreppur</t>
  </si>
  <si>
    <t>Norðfjarðarhreppur</t>
  </si>
  <si>
    <t>Mjóafjarðarhreppur</t>
  </si>
  <si>
    <t>Austur-Skaftafellssýsla</t>
  </si>
  <si>
    <t>Bæjarhreppur</t>
  </si>
  <si>
    <t>Bjarnaneshreppur</t>
  </si>
  <si>
    <t>Nesjahreppur</t>
  </si>
  <si>
    <t>Hofshreppur</t>
  </si>
  <si>
    <t>1874: Kosið í óskiptri Skaftafellssýslu</t>
  </si>
  <si>
    <t>Vestur-Skaftafellssýsla</t>
  </si>
  <si>
    <t>Kleifahreppur</t>
  </si>
  <si>
    <t>Hörgslandshreppur</t>
  </si>
  <si>
    <t>Kirkjubæjarhreppur</t>
  </si>
  <si>
    <t>Leiðvallahreppur</t>
  </si>
  <si>
    <t>Álftavershreppur</t>
  </si>
  <si>
    <t>Skaftártunguhreppur</t>
  </si>
  <si>
    <t>Hvammshreppur</t>
  </si>
  <si>
    <t>Dyrhólahreppur</t>
  </si>
  <si>
    <t>Gullbringu- og Kjósarsýsla</t>
  </si>
  <si>
    <t>Kjósarhreppur</t>
  </si>
  <si>
    <t>Kjalarneshreppur</t>
  </si>
  <si>
    <t>Mosfellshreppur</t>
  </si>
  <si>
    <t>Seltjarnarneshreppur</t>
  </si>
  <si>
    <t>Álftaneshreppur</t>
  </si>
  <si>
    <t>Bessastaðahreppur</t>
  </si>
  <si>
    <t>Garðahreppur</t>
  </si>
  <si>
    <t>Vatnsleysustrandarhreppur</t>
  </si>
  <si>
    <t>Njarðvíkurhreppur</t>
  </si>
  <si>
    <t>Romshvalsneshreppur</t>
  </si>
  <si>
    <t>Miðneshreppur</t>
  </si>
  <si>
    <t>Hafnahreppur</t>
  </si>
  <si>
    <t>Grindavíkurhreppur</t>
  </si>
  <si>
    <t>Eyrarbakkahreppur</t>
  </si>
  <si>
    <t>Selvogshreppur</t>
  </si>
  <si>
    <t>Ölfushreppur</t>
  </si>
  <si>
    <t>Grafningshreppur</t>
  </si>
  <si>
    <t>Þingvallahreppur</t>
  </si>
  <si>
    <t>Grímsneshreppur</t>
  </si>
  <si>
    <t>Biskupstungnahreppur</t>
  </si>
  <si>
    <t>Hrunamannahreppur</t>
  </si>
  <si>
    <t>Gnúpverjahreppur</t>
  </si>
  <si>
    <t>Skeiðahreppur</t>
  </si>
  <si>
    <t>Villingaholtshreppur</t>
  </si>
  <si>
    <t>Gaulverjabæjarhreppur</t>
  </si>
  <si>
    <t>Stokkseyrarhreppur</t>
  </si>
  <si>
    <t>Árnessýsla</t>
  </si>
  <si>
    <t>Norður-Þingeyjarsýsla</t>
  </si>
  <si>
    <t>1874: Kosið í óskiptri Þingeyjarsýslu</t>
  </si>
  <si>
    <t>Kelduneshreppur</t>
  </si>
  <si>
    <t>Skinnastaðahreppur</t>
  </si>
  <si>
    <t>Axarfjarðarhreppur</t>
  </si>
  <si>
    <t>Fjallahreppur</t>
  </si>
  <si>
    <t>Presthólahreppur</t>
  </si>
  <si>
    <t>Sauðaneshreppur</t>
  </si>
  <si>
    <t>Suður-Þingeyjarsýsla</t>
  </si>
  <si>
    <t>Húsavíkurhreppur</t>
  </si>
  <si>
    <t>Helgastaðahreppur</t>
  </si>
  <si>
    <t>Aðaldælahreppur</t>
  </si>
  <si>
    <t>Reykjadalshreppur</t>
  </si>
  <si>
    <t>Skútustaðahreppur</t>
  </si>
  <si>
    <t>Ljósavatnshreppur</t>
  </si>
  <si>
    <t>Hálshreppur</t>
  </si>
  <si>
    <t>Grýtubakkahreppur</t>
  </si>
  <si>
    <t>Svalbarðsstrandarhreppur</t>
  </si>
  <si>
    <t>Skagafjarðarsýsla</t>
  </si>
  <si>
    <t>Holtshreppur</t>
  </si>
  <si>
    <t>Haganeshreppur</t>
  </si>
  <si>
    <t>Fellshreppur</t>
  </si>
  <si>
    <t>Hólahreppur</t>
  </si>
  <si>
    <t>Viðvíkurhreppur</t>
  </si>
  <si>
    <t>Rípurhreppur</t>
  </si>
  <si>
    <t>Akrahreppur</t>
  </si>
  <si>
    <t>Lýtingsstaðahreppur</t>
  </si>
  <si>
    <t>Seyluhreppur</t>
  </si>
  <si>
    <t>Staðarhreppur</t>
  </si>
  <si>
    <t>Sauðárhreppur</t>
  </si>
  <si>
    <t>Skefilsstaðahreppur</t>
  </si>
  <si>
    <t>Húnavatnssýsla</t>
  </si>
  <si>
    <t>Torfustaðahreppur</t>
  </si>
  <si>
    <t>Fremri-Torfustaðahreppur</t>
  </si>
  <si>
    <t>Ytri-Torfustaðahreppur</t>
  </si>
  <si>
    <t>Kirkjuhvammshreppur</t>
  </si>
  <si>
    <t>Þverárhreppur</t>
  </si>
  <si>
    <t>Þorkelshólshreppur</t>
  </si>
  <si>
    <t>Áshreppur</t>
  </si>
  <si>
    <t>Sveinsstaðahreppur</t>
  </si>
  <si>
    <t>Torfalækjarhreppur</t>
  </si>
  <si>
    <t>Svínavatnshreppur</t>
  </si>
  <si>
    <t>Bólstaðarhlíðarhreppur</t>
  </si>
  <si>
    <t>Engihlíðarhreppur</t>
  </si>
  <si>
    <t>Vindhælishreppur</t>
  </si>
  <si>
    <t>Strandasýsla</t>
  </si>
  <si>
    <t>Óspakseyrarhreppur</t>
  </si>
  <si>
    <t>Kirkjubólshreppur</t>
  </si>
  <si>
    <t>Hrófbergshreppur</t>
  </si>
  <si>
    <t>Kaldrananeshreppur</t>
  </si>
  <si>
    <t>Árneshreppur</t>
  </si>
  <si>
    <t>Broddaneshreppur</t>
  </si>
  <si>
    <t>Snæfellsnes- og Hnappadalssýsla</t>
  </si>
  <si>
    <t>Skógarstrandarhreppur</t>
  </si>
  <si>
    <t>Helgafellssveit</t>
  </si>
  <si>
    <t>Stykkishólmshreppur</t>
  </si>
  <si>
    <t>Eyrarsveit</t>
  </si>
  <si>
    <t>Neshreppur-innri</t>
  </si>
  <si>
    <t>Neshreppur-ytri</t>
  </si>
  <si>
    <t>Breiðuvíkurhreppur</t>
  </si>
  <si>
    <t>Staðarsveit</t>
  </si>
  <si>
    <t>Miklaholtshreppur</t>
  </si>
  <si>
    <t>Eyjahreppur</t>
  </si>
  <si>
    <t>Kolbeinsstaðahreppur</t>
  </si>
  <si>
    <t>Kjörstaður í Staðarsveit 1880-1892, en í Stykkishólmi 1894-1903</t>
  </si>
  <si>
    <t>Mýrasýsla</t>
  </si>
  <si>
    <t>Hvítársíðuhreppur</t>
  </si>
  <si>
    <t>Þverárhlíðarhreppur</t>
  </si>
  <si>
    <t>Norðurárdalshreppur</t>
  </si>
  <si>
    <t>Stafholtstungnahreppur</t>
  </si>
  <si>
    <t>Borgarhreppur</t>
  </si>
  <si>
    <t>Hraunhreppur</t>
  </si>
  <si>
    <t>Borgarfjarðarsýsla</t>
  </si>
  <si>
    <t>Hálsahreppur</t>
  </si>
  <si>
    <t>Reykholtsdalshreppur</t>
  </si>
  <si>
    <t>Lundarreykjadalshreppur</t>
  </si>
  <si>
    <t>Andakílshreppur</t>
  </si>
  <si>
    <t>Hvalfjarðarstandarhreppur</t>
  </si>
  <si>
    <t>Leirár- og Melahreppur</t>
  </si>
  <si>
    <t>Skilmannahreppur</t>
  </si>
  <si>
    <t>Akraneshreppur</t>
  </si>
  <si>
    <t>Innri-Akraneshreppur</t>
  </si>
  <si>
    <t>Ytri-Akraneshreppur</t>
  </si>
  <si>
    <t>Barðastrandarsýsla</t>
  </si>
  <si>
    <t>Geiradalshreppur</t>
  </si>
  <si>
    <t>Reykhólahreppur</t>
  </si>
  <si>
    <t>Gufudalshreppur</t>
  </si>
  <si>
    <t>Múlahreppur</t>
  </si>
  <si>
    <t>Barðastrandarhreppur</t>
  </si>
  <si>
    <t>Rauðasandshreppur</t>
  </si>
  <si>
    <t>Tálknafjarðarhreppur</t>
  </si>
  <si>
    <t>Dalahreppur</t>
  </si>
  <si>
    <t>Suðurfjarðahreppur</t>
  </si>
  <si>
    <t>Eyjafjarðarsýsla</t>
  </si>
  <si>
    <t>Öngulsstaðahreppur</t>
  </si>
  <si>
    <t>Saurbæjarhreppur</t>
  </si>
  <si>
    <t>Hrafnagilshreppur</t>
  </si>
  <si>
    <t>Akureyrarkaupstaður</t>
  </si>
  <si>
    <t>Glæsibæjarhreppur</t>
  </si>
  <si>
    <t>Skriðuhreppur</t>
  </si>
  <si>
    <t>Arnarneshreppur</t>
  </si>
  <si>
    <t>Þóroddsstaðahreppur</t>
  </si>
  <si>
    <t>Hvanneyrarhreppur</t>
  </si>
  <si>
    <t>Grímseyjarhreppur</t>
  </si>
  <si>
    <t>Valla-/Svarfaðardalshreppur</t>
  </si>
  <si>
    <t>Kjörstaður í Akureyrarkaupstað 1874-1903</t>
  </si>
  <si>
    <t>Kjörsókn eftir hreppum</t>
  </si>
  <si>
    <t>Kjósendur</t>
  </si>
  <si>
    <t>alls</t>
  </si>
  <si>
    <t>1874: Kjörskrár miðast við kirkjusóknir en ekki hreppa</t>
  </si>
  <si>
    <t>Skorradalshreppur</t>
  </si>
  <si>
    <t>Landsmeðaltal</t>
  </si>
  <si>
    <t>1874 og 1878: Kjörskrár miðast við kirkjusóknir en ekki hreppa</t>
  </si>
  <si>
    <t>Kjörstaður í Sveinsstaðahreppi 1874-1892 og 1902&amp;1903 en í Torfalækjarhreppi 1894 og 1900</t>
  </si>
  <si>
    <t>Kjörstaður í Barðastrandarhrepp 1874-1892</t>
  </si>
  <si>
    <t>Kjörstaður í Borgarhrepp 1880-1903</t>
  </si>
  <si>
    <t>Kjörstaður í Ljósavatnshreppi 1880-1903</t>
  </si>
  <si>
    <t>Kjörstaður í Skinnastaðahrepp 1880-1894, í Svalbarðshrepp 1900 og í Axarfjarðarhrepp 1902 og 1903</t>
  </si>
  <si>
    <t>Svalbarðshreppur</t>
  </si>
  <si>
    <t>Kjörstaður í Jökuldals- og Hlíðarhrepp 1874-1886 og í Hlíðarhrepp 1889-1903</t>
  </si>
  <si>
    <t>Kjörstaður í Skriðdalshrepp 1874-1900 en í Reyðarfjarðarhrepp 1902 og 1903</t>
  </si>
  <si>
    <t>Skriðdalshreppur</t>
  </si>
  <si>
    <t>Reyðarfjarðarhreppur</t>
  </si>
  <si>
    <t>Mýrahreppur</t>
  </si>
  <si>
    <t>Borgarhafnarhreppur</t>
  </si>
  <si>
    <t>Kjörstaður í Borgarhafnarhrepp 1885 og 1886 en í Mýrahrepp 1892-1903</t>
  </si>
  <si>
    <t>Kjörstaður í Leiðvallahrepp 1886-1903</t>
  </si>
  <si>
    <t>Kjörstaður í Hvolhreppi 1874-1903</t>
  </si>
  <si>
    <t>Kjörstaður í Hraungerðishrepp 1874-1894 en í Sandvíkurhrepp 1900-1903</t>
  </si>
  <si>
    <t>Hraungerðishreppur</t>
  </si>
  <si>
    <t>Sandvíkurhreppur</t>
  </si>
  <si>
    <t>Kjörstaður í Álftaneshrepp 1874 en í Garðahrepp 1880-1903</t>
  </si>
  <si>
    <t>1876: Bjarnaneshrepp skipt í Nesja- og Mýrahreppa</t>
  </si>
  <si>
    <t>1878: Álftaneshrepp skipt í Bessastaða- og Garðahreppa</t>
  </si>
  <si>
    <t>1886: Romshvalsneshrepp skipt í Romshvalsnes- og Miðneshreppa</t>
  </si>
  <si>
    <t>1889: Vatnsleysustrandarhrepp skipt í Njarðvíkur- og Vatnsleysustrandarhreppa</t>
  </si>
  <si>
    <t>1897: Stokkseyrarhrepp skipt í Eyrarbakka- og Stokkseyrarhreppa</t>
  </si>
  <si>
    <t>1892: Holtamannahrepp skipt í Ása- og Holtamannahreppa</t>
  </si>
  <si>
    <t>1891: Kleifahrepp skipti í Hörgslands- og Kirkjubæjarhreppa</t>
  </si>
  <si>
    <t>1885: Leiðvallahrepp skipt í Álftavers-, Skaftártungu- og Leiðvallahreppa</t>
  </si>
  <si>
    <t>1887: Dyrhólahrepp skipt í Hvamms- og Dyrhólahreppa</t>
  </si>
  <si>
    <t>1894: Seyðisfjarðarkaupstaður stofnaður í innri hluta Seyðisfjarðarhrepps</t>
  </si>
  <si>
    <t>1892: Skinnastaðahrepp skipt í Axarfjarðar- og Fjallahreppa</t>
  </si>
  <si>
    <t>1893: Helgastaðahrepp skipt í Aðaldæla- og Reykjadalshreppa</t>
  </si>
  <si>
    <t>Hreppakjörskrár vantar úr: Akureyrarkaupstað (1874 og 1880), Glæsibæjarhrepp (1880), Þóroddstaðahrepp (1874),</t>
  </si>
  <si>
    <t>Hvanneyrarhrepp (1874) og Grímseyjarhrepp (1886, 1892, 1894 og 1903)</t>
  </si>
  <si>
    <t>1897: Holtshrepp skipt í Haganes- og Holtshreppa</t>
  </si>
  <si>
    <t>1877: Torfustaðahrepp var skipt í Fremri- og Ytri-Torfustaðahreppa</t>
  </si>
  <si>
    <t>1886: Broddaneshrepp skipt í Óspakseyrar- og Fellshreppa</t>
  </si>
  <si>
    <t>1885: Akraneshrepp skipt í Innri- og Ytri- Akraneshreppa</t>
  </si>
  <si>
    <t xml:space="preserve">1874 og 1879: Kjörskrár miðast við kirkjusóknir en ekki hreppa. </t>
  </si>
  <si>
    <t>Þingmúla- og Hallormsstaðasóknir taldar með Skriðdalshrepp og Eydala- og Stöðvarsókn með Breiðdalshrepp</t>
  </si>
  <si>
    <t>1886: Jökuldals- og Hlíðarhrepp skipt í Jökuldalshrepp og Hlíðarhreppa</t>
  </si>
  <si>
    <t>Kjörstaður í Sauðárhrepp 1883-1900 og 1903 en í Rípurhrepp 1880 og 1902</t>
  </si>
  <si>
    <t>Kjörstaður í Broddaneshreppi 1878 og 1880, í Kirkjubólshreppi 1874 og 1903 og í Fellshreppi 1900 og 1902</t>
  </si>
  <si>
    <t>1892: Helgafellssveit skipt í Stykkishólmshrepp og Helgafellssveit</t>
  </si>
  <si>
    <t>Kjörstaður í Leirár- og Melahrepp 1880-1894 og 1902-1903 en í Skorradal 1900</t>
  </si>
  <si>
    <t>1886: Atkvæðaskrá ófundin</t>
  </si>
  <si>
    <t>1894, 1900, 1902 og 1903: Kjörskrár ófundnar</t>
  </si>
  <si>
    <t>1886, 1892 og 1894: Kjörskrár ófundnar</t>
  </si>
  <si>
    <t>1903: Kjörskrá ófundin</t>
  </si>
  <si>
    <t>1880: Kjörskrá ófundin</t>
  </si>
  <si>
    <t>Kosning 1880 dæmd ógild, endurtekin vorið 1881</t>
  </si>
  <si>
    <t>Kosningu 1880 var frestað til vors 1881</t>
  </si>
  <si>
    <t>0-9,9%</t>
  </si>
  <si>
    <t>10-24,9%</t>
  </si>
  <si>
    <t>25-49,9%</t>
  </si>
  <si>
    <t>50-74,9%</t>
  </si>
  <si>
    <t>75-89,9%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</si>
</sst>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4" fontId="0" fillId="0" borderId="0" xfId="1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/>
    <xf numFmtId="0" fontId="0" fillId="7" borderId="0" xfId="0" applyFill="1"/>
    <xf numFmtId="0" fontId="0" fillId="6" borderId="0" xfId="0" applyFill="1"/>
    <xf numFmtId="0" fontId="0" fillId="5" borderId="0" xfId="0" applyFill="1"/>
    <xf numFmtId="0" fontId="0" fillId="4" borderId="0" xfId="0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2" fillId="5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164" fontId="0" fillId="8" borderId="0" xfId="1" quotePrefix="1" applyNumberFormat="1" applyFont="1" applyFill="1" applyAlignment="1">
      <alignment horizontal="center"/>
    </xf>
    <xf numFmtId="0" fontId="0" fillId="8" borderId="0" xfId="0" applyFill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8" borderId="0" xfId="1" applyNumberFormat="1" applyFont="1" applyFill="1" applyBorder="1" applyAlignment="1">
      <alignment horizontal="center"/>
    </xf>
    <xf numFmtId="0" fontId="2" fillId="0" borderId="1" xfId="0" applyFont="1" applyBorder="1"/>
    <xf numFmtId="164" fontId="0" fillId="4" borderId="1" xfId="1" quotePrefix="1" applyNumberFormat="1" applyFont="1" applyFill="1" applyBorder="1" applyAlignment="1">
      <alignment horizontal="center"/>
    </xf>
    <xf numFmtId="164" fontId="0" fillId="6" borderId="1" xfId="1" quotePrefix="1" applyNumberFormat="1" applyFont="1" applyFill="1" applyBorder="1" applyAlignment="1">
      <alignment horizontal="center"/>
    </xf>
    <xf numFmtId="164" fontId="0" fillId="5" borderId="1" xfId="1" quotePrefix="1" applyNumberFormat="1" applyFont="1" applyFill="1" applyBorder="1" applyAlignment="1">
      <alignment horizontal="center"/>
    </xf>
    <xf numFmtId="164" fontId="0" fillId="3" borderId="1" xfId="1" quotePrefix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64" fontId="0" fillId="4" borderId="2" xfId="1" quotePrefix="1" applyNumberFormat="1" applyFont="1" applyFill="1" applyBorder="1" applyAlignment="1">
      <alignment horizontal="center"/>
    </xf>
    <xf numFmtId="164" fontId="0" fillId="6" borderId="2" xfId="1" quotePrefix="1" applyNumberFormat="1" applyFont="1" applyFill="1" applyBorder="1" applyAlignment="1">
      <alignment horizontal="center"/>
    </xf>
    <xf numFmtId="164" fontId="0" fillId="5" borderId="2" xfId="1" quotePrefix="1" applyNumberFormat="1" applyFont="1" applyFill="1" applyBorder="1" applyAlignment="1">
      <alignment horizontal="center"/>
    </xf>
    <xf numFmtId="164" fontId="0" fillId="7" borderId="1" xfId="1" quotePrefix="1" applyNumberFormat="1" applyFont="1" applyFill="1" applyBorder="1" applyAlignment="1">
      <alignment horizontal="center"/>
    </xf>
    <xf numFmtId="164" fontId="0" fillId="2" borderId="1" xfId="1" quotePrefix="1" applyNumberFormat="1" applyFont="1" applyFill="1" applyBorder="1" applyAlignment="1">
      <alignment horizontal="center"/>
    </xf>
    <xf numFmtId="164" fontId="0" fillId="5" borderId="3" xfId="1" quotePrefix="1" applyNumberFormat="1" applyFont="1" applyFill="1" applyBorder="1" applyAlignment="1">
      <alignment horizontal="center"/>
    </xf>
    <xf numFmtId="164" fontId="0" fillId="7" borderId="2" xfId="1" quotePrefix="1" applyNumberFormat="1" applyFont="1" applyFill="1" applyBorder="1" applyAlignment="1">
      <alignment horizontal="center"/>
    </xf>
    <xf numFmtId="164" fontId="0" fillId="2" borderId="3" xfId="1" quotePrefix="1" applyNumberFormat="1" applyFont="1" applyFill="1" applyBorder="1" applyAlignment="1">
      <alignment horizontal="center"/>
    </xf>
    <xf numFmtId="164" fontId="0" fillId="2" borderId="2" xfId="1" quotePrefix="1" applyNumberFormat="1" applyFont="1" applyFill="1" applyBorder="1" applyAlignment="1">
      <alignment horizontal="center"/>
    </xf>
    <xf numFmtId="164" fontId="0" fillId="6" borderId="3" xfId="1" quotePrefix="1" applyNumberFormat="1" applyFont="1" applyFill="1" applyBorder="1" applyAlignment="1">
      <alignment horizontal="center"/>
    </xf>
    <xf numFmtId="164" fontId="0" fillId="6" borderId="0" xfId="1" quotePrefix="1" applyNumberFormat="1" applyFont="1" applyFill="1" applyAlignment="1">
      <alignment horizontal="center"/>
    </xf>
    <xf numFmtId="164" fontId="0" fillId="5" borderId="5" xfId="1" quotePrefix="1" applyNumberFormat="1" applyFont="1" applyFill="1" applyBorder="1" applyAlignment="1">
      <alignment horizontal="center"/>
    </xf>
    <xf numFmtId="164" fontId="0" fillId="4" borderId="5" xfId="1" quotePrefix="1" applyNumberFormat="1" applyFont="1" applyFill="1" applyBorder="1" applyAlignment="1">
      <alignment horizontal="center"/>
    </xf>
    <xf numFmtId="164" fontId="0" fillId="2" borderId="5" xfId="1" quotePrefix="1" applyNumberFormat="1" applyFont="1" applyFill="1" applyBorder="1" applyAlignment="1">
      <alignment horizontal="center"/>
    </xf>
    <xf numFmtId="164" fontId="0" fillId="6" borderId="5" xfId="1" quotePrefix="1" applyNumberFormat="1" applyFont="1" applyFill="1" applyBorder="1" applyAlignment="1">
      <alignment horizontal="center"/>
    </xf>
    <xf numFmtId="164" fontId="0" fillId="0" borderId="1" xfId="1" quotePrefix="1" applyNumberFormat="1" applyFont="1" applyFill="1" applyBorder="1" applyAlignment="1">
      <alignment horizontal="center"/>
    </xf>
    <xf numFmtId="164" fontId="0" fillId="0" borderId="3" xfId="1" quotePrefix="1" applyNumberFormat="1" applyFont="1" applyFill="1" applyBorder="1" applyAlignment="1">
      <alignment horizontal="center"/>
    </xf>
    <xf numFmtId="164" fontId="0" fillId="0" borderId="5" xfId="1" quotePrefix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0" fillId="0" borderId="4" xfId="1" quotePrefix="1" applyNumberFormat="1" applyFont="1" applyFill="1" applyBorder="1" applyAlignment="1">
      <alignment horizontal="center"/>
    </xf>
    <xf numFmtId="164" fontId="2" fillId="4" borderId="0" xfId="1" quotePrefix="1" applyNumberFormat="1" applyFont="1" applyFill="1" applyBorder="1" applyAlignment="1">
      <alignment horizontal="center"/>
    </xf>
    <xf numFmtId="164" fontId="2" fillId="5" borderId="0" xfId="1" quotePrefix="1" applyNumberFormat="1" applyFont="1" applyFill="1" applyBorder="1" applyAlignment="1">
      <alignment horizontal="center"/>
    </xf>
    <xf numFmtId="164" fontId="2" fillId="2" borderId="0" xfId="1" quotePrefix="1" applyNumberFormat="1" applyFont="1" applyFill="1" applyBorder="1" applyAlignment="1">
      <alignment horizontal="center"/>
    </xf>
    <xf numFmtId="164" fontId="2" fillId="6" borderId="0" xfId="1" quotePrefix="1" applyNumberFormat="1" applyFont="1" applyFill="1" applyBorder="1" applyAlignment="1">
      <alignment horizontal="center"/>
    </xf>
    <xf numFmtId="164" fontId="0" fillId="9" borderId="1" xfId="1" quotePrefix="1" applyNumberFormat="1" applyFont="1" applyFill="1" applyBorder="1" applyAlignment="1">
      <alignment horizontal="center"/>
    </xf>
    <xf numFmtId="164" fontId="2" fillId="7" borderId="0" xfId="1" quotePrefix="1" applyNumberFormat="1" applyFont="1" applyFill="1" applyBorder="1" applyAlignment="1">
      <alignment horizontal="center"/>
    </xf>
    <xf numFmtId="164" fontId="0" fillId="7" borderId="5" xfId="1" quotePrefix="1" applyNumberFormat="1" applyFont="1" applyFill="1" applyBorder="1" applyAlignment="1">
      <alignment horizontal="center"/>
    </xf>
    <xf numFmtId="164" fontId="0" fillId="9" borderId="4" xfId="1" quotePrefix="1" applyNumberFormat="1" applyFont="1" applyFill="1" applyBorder="1" applyAlignment="1">
      <alignment horizontal="center"/>
    </xf>
    <xf numFmtId="164" fontId="0" fillId="9" borderId="2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164" fontId="0" fillId="9" borderId="5" xfId="1" quotePrefix="1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1" quotePrefix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164" fontId="2" fillId="6" borderId="0" xfId="1" applyNumberFormat="1" applyFont="1" applyFill="1" applyAlignment="1">
      <alignment horizontal="center"/>
    </xf>
    <xf numFmtId="0" fontId="0" fillId="0" borderId="6" xfId="0" applyBorder="1"/>
    <xf numFmtId="0" fontId="2" fillId="0" borderId="6" xfId="0" applyFont="1" applyBorder="1"/>
    <xf numFmtId="164" fontId="1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Users/Hrafn/Documents/Skj&#246;l%20&#237;%20vinnslu/Post%20doc%20verkefni/Vinnuskj&#246;l/Samantektir%20&#250;r%20heimildum/T&#246;flur%20-%20unnar%20&#250;r%20g&#246;gnum/Kj&#243;sendur%20og%20kj&#246;rs&#243;kn%201874-1903%20eftir%20hreppum.xlsx" TargetMode="External"/><Relationship Id="rId2" Type="http://schemas.openxmlformats.org/officeDocument/2006/relationships/externalLinkPath" Target="file:///C:\Users\Hrafn\Documents\Skj&#246;l%20&#237;%20vinnslu\Post%20doc%20verkefni\Vinnuskj&#246;l\Samantektir%20&#250;r%20heimildum\T&#246;flur%20-%20unnar%20&#250;r%20g&#246;gnum\Kj&#243;sendur%20og%20kj&#246;rs&#243;kn%201874-1903%20eftir%20hreppum.xlsx" TargetMode="External"/><Relationship Id="rId1" Type="http://schemas.openxmlformats.org/officeDocument/2006/relationships/externalLinkPath" Target="/Users/Hrafn/Documents/Skj&#246;l%20&#237;%20vinnslu/Post%20doc%20verkefni/Vinnuskj&#246;l/Samantektir%20&#250;r%20heimildum/T&#246;flur%20-%20unnar%20&#250;r%20g&#246;gnum/Kj&#243;sendur%20og%20kj&#246;rs&#243;kn%201874-1903%20eftir%20hrepp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vk"/>
      <sheetName val="Gull&amp;Kjós"/>
      <sheetName val="Árnes"/>
      <sheetName val="Rang"/>
      <sheetName val="Vestm"/>
      <sheetName val="V-Skaft"/>
      <sheetName val="A-Skaft"/>
      <sheetName val="N-Múl"/>
      <sheetName val="S-Múl"/>
      <sheetName val="N-Þing"/>
      <sheetName val="S-Þing"/>
      <sheetName val="Eyjafj"/>
      <sheetName val="Skagafj"/>
      <sheetName val="Húnav"/>
      <sheetName val="Strandir"/>
      <sheetName val="Ísafj"/>
      <sheetName val="Barðastr"/>
      <sheetName val="Dalir"/>
      <sheetName val="Snæf&amp;Hn"/>
      <sheetName val="Mýrar"/>
      <sheetName val="Borg"/>
    </sheetNames>
    <sheetDataSet>
      <sheetData sheetId="0"/>
      <sheetData sheetId="1">
        <row r="8">
          <cell r="F8">
            <v>7.6923076923076927E-2</v>
          </cell>
        </row>
        <row r="9">
          <cell r="F9">
            <v>0.18604651162790697</v>
          </cell>
        </row>
        <row r="10">
          <cell r="F10">
            <v>0.3783783783783784</v>
          </cell>
        </row>
        <row r="11">
          <cell r="F11">
            <v>0.55172413793103448</v>
          </cell>
        </row>
        <row r="12">
          <cell r="F12">
            <v>0.74626865671641796</v>
          </cell>
        </row>
        <row r="13">
          <cell r="F13">
            <v>0.43421052631578949</v>
          </cell>
        </row>
        <row r="14">
          <cell r="F14">
            <v>1.5151515151515152E-2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0.3682008368200837</v>
          </cell>
        </row>
        <row r="20">
          <cell r="F20">
            <v>0.39583333333333331</v>
          </cell>
        </row>
        <row r="21">
          <cell r="F21">
            <v>0.39534883720930231</v>
          </cell>
        </row>
        <row r="22">
          <cell r="F22">
            <v>0.3783783783783784</v>
          </cell>
        </row>
        <row r="23">
          <cell r="F23">
            <v>0.78787878787878785</v>
          </cell>
        </row>
        <row r="24">
          <cell r="F24">
            <v>0.61224489795918369</v>
          </cell>
        </row>
        <row r="25">
          <cell r="F25">
            <v>0.46511627906976744</v>
          </cell>
        </row>
        <row r="26">
          <cell r="F26">
            <v>0.13953488372093023</v>
          </cell>
        </row>
        <row r="27">
          <cell r="F27">
            <v>5.4794520547945202E-2</v>
          </cell>
        </row>
        <row r="28">
          <cell r="F28">
            <v>0</v>
          </cell>
        </row>
        <row r="29">
          <cell r="F29">
            <v>6.8965517241379309E-2</v>
          </cell>
        </row>
        <row r="30">
          <cell r="F30">
            <v>0.33265720081135902</v>
          </cell>
        </row>
        <row r="33">
          <cell r="F33">
            <v>0.65306122448979587</v>
          </cell>
        </row>
        <row r="34">
          <cell r="F34">
            <v>0.5</v>
          </cell>
        </row>
        <row r="35">
          <cell r="F35">
            <v>0.61538461538461542</v>
          </cell>
        </row>
        <row r="36">
          <cell r="F36">
            <v>0.5757575757575758</v>
          </cell>
        </row>
        <row r="37">
          <cell r="F37">
            <v>0.78048780487804881</v>
          </cell>
        </row>
        <row r="38">
          <cell r="F38">
            <v>0.70526315789473681</v>
          </cell>
        </row>
        <row r="39">
          <cell r="F39">
            <v>0.25301204819277107</v>
          </cell>
        </row>
        <row r="40">
          <cell r="F40">
            <v>0.18085106382978725</v>
          </cell>
        </row>
        <row r="41">
          <cell r="F41">
            <v>0.41666666666666669</v>
          </cell>
        </row>
        <row r="42">
          <cell r="F42">
            <v>6.6666666666666666E-2</v>
          </cell>
        </row>
        <row r="43">
          <cell r="F43">
            <v>0.4631782945736434</v>
          </cell>
        </row>
        <row r="46">
          <cell r="F46">
            <v>0</v>
          </cell>
        </row>
        <row r="47">
          <cell r="F47">
            <v>7.4999999999999997E-2</v>
          </cell>
        </row>
        <row r="48">
          <cell r="F48">
            <v>0.27027027027027029</v>
          </cell>
        </row>
        <row r="49">
          <cell r="F49">
            <v>0.33333333333333331</v>
          </cell>
        </row>
        <row r="50">
          <cell r="F50">
            <v>0.5</v>
          </cell>
        </row>
        <row r="51">
          <cell r="F51">
            <v>0.58536585365853655</v>
          </cell>
        </row>
        <row r="52">
          <cell r="F52">
            <v>0.1076923076923077</v>
          </cell>
        </row>
        <row r="53">
          <cell r="F53">
            <v>0.13333333333333333</v>
          </cell>
        </row>
        <row r="54">
          <cell r="F54">
            <v>9.3023255813953487E-2</v>
          </cell>
        </row>
        <row r="55">
          <cell r="F55">
            <v>0</v>
          </cell>
        </row>
        <row r="56">
          <cell r="F56">
            <v>0.21428571428571427</v>
          </cell>
        </row>
        <row r="57">
          <cell r="F57">
            <v>0</v>
          </cell>
        </row>
        <row r="58">
          <cell r="F58">
            <v>0.24956369982547993</v>
          </cell>
        </row>
        <row r="61">
          <cell r="F61">
            <v>0</v>
          </cell>
        </row>
        <row r="62">
          <cell r="F62">
            <v>2.4390243902439025E-2</v>
          </cell>
        </row>
        <row r="63">
          <cell r="F63">
            <v>2.9411764705882353E-2</v>
          </cell>
        </row>
        <row r="64">
          <cell r="F64">
            <v>5.8823529411764705E-2</v>
          </cell>
        </row>
        <row r="65">
          <cell r="F65">
            <v>0.34615384615384615</v>
          </cell>
        </row>
        <row r="66">
          <cell r="F66">
            <v>0.38793103448275862</v>
          </cell>
        </row>
        <row r="67">
          <cell r="F67">
            <v>5.5555555555555552E-2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0.12724014336917563</v>
          </cell>
        </row>
        <row r="76">
          <cell r="F76">
            <v>0.1951219512195122</v>
          </cell>
        </row>
        <row r="77">
          <cell r="F77">
            <v>0.43243243243243246</v>
          </cell>
        </row>
        <row r="78">
          <cell r="F78">
            <v>0.61111111111111116</v>
          </cell>
        </row>
        <row r="79">
          <cell r="F79">
            <v>0.54285714285714282</v>
          </cell>
        </row>
        <row r="80">
          <cell r="F80">
            <v>0.55932203389830504</v>
          </cell>
        </row>
        <row r="81">
          <cell r="F81">
            <v>0.5</v>
          </cell>
        </row>
        <row r="82">
          <cell r="F82">
            <v>0.54929577464788737</v>
          </cell>
        </row>
        <row r="83">
          <cell r="F83">
            <v>0.73333333333333328</v>
          </cell>
        </row>
        <row r="84">
          <cell r="F84">
            <v>0.65</v>
          </cell>
        </row>
        <row r="85">
          <cell r="F85">
            <v>0.34090909090909088</v>
          </cell>
        </row>
        <row r="86">
          <cell r="F86">
            <v>0.33333333333333331</v>
          </cell>
        </row>
        <row r="87">
          <cell r="F87">
            <v>0.40909090909090912</v>
          </cell>
        </row>
        <row r="88">
          <cell r="F88">
            <v>0.5008347245409015</v>
          </cell>
        </row>
        <row r="92">
          <cell r="F92">
            <v>0.37209302325581395</v>
          </cell>
        </row>
        <row r="93">
          <cell r="F93">
            <v>0.5</v>
          </cell>
        </row>
        <row r="94">
          <cell r="F94">
            <v>0.4</v>
          </cell>
        </row>
        <row r="95">
          <cell r="F95">
            <v>0.51282051282051277</v>
          </cell>
        </row>
        <row r="96">
          <cell r="F96">
            <v>0.47368421052631576</v>
          </cell>
        </row>
        <row r="97">
          <cell r="F97">
            <v>0.63636363636363635</v>
          </cell>
        </row>
        <row r="98">
          <cell r="F98">
            <v>0.22580645161290322</v>
          </cell>
        </row>
        <row r="99">
          <cell r="F99">
            <v>0.42307692307692307</v>
          </cell>
        </row>
        <row r="100">
          <cell r="F100">
            <v>0.40243902439024393</v>
          </cell>
        </row>
        <row r="101">
          <cell r="F101">
            <v>0.25</v>
          </cell>
        </row>
        <row r="102">
          <cell r="F102">
            <v>0.2</v>
          </cell>
        </row>
        <row r="103">
          <cell r="F103">
            <v>0</v>
          </cell>
        </row>
        <row r="104">
          <cell r="F104">
            <v>0.3971631205673759</v>
          </cell>
        </row>
        <row r="107">
          <cell r="F107">
            <v>0.45454545454545453</v>
          </cell>
        </row>
        <row r="108">
          <cell r="F108">
            <v>0.60465116279069764</v>
          </cell>
        </row>
        <row r="109">
          <cell r="F109">
            <v>0.83333333333333337</v>
          </cell>
        </row>
        <row r="110">
          <cell r="F110">
            <v>0.48717948717948717</v>
          </cell>
        </row>
        <row r="111">
          <cell r="F111">
            <v>0.35897435897435898</v>
          </cell>
        </row>
        <row r="112">
          <cell r="F112">
            <v>0.5</v>
          </cell>
        </row>
        <row r="113">
          <cell r="F113">
            <v>0.51851851851851849</v>
          </cell>
        </row>
        <row r="114">
          <cell r="F114">
            <v>0.61904761904761907</v>
          </cell>
        </row>
        <row r="115">
          <cell r="F115">
            <v>0.63513513513513509</v>
          </cell>
        </row>
        <row r="116">
          <cell r="F116">
            <v>0.6</v>
          </cell>
        </row>
        <row r="117">
          <cell r="F117">
            <v>0.54545454545454541</v>
          </cell>
        </row>
        <row r="118">
          <cell r="F118">
            <v>0.19047619047619047</v>
          </cell>
        </row>
        <row r="119">
          <cell r="F119">
            <v>0.52527075812274371</v>
          </cell>
        </row>
        <row r="122">
          <cell r="F122">
            <v>0.69565217391304346</v>
          </cell>
        </row>
        <row r="123">
          <cell r="F123">
            <v>0.53658536585365857</v>
          </cell>
        </row>
        <row r="124">
          <cell r="F124">
            <v>0.8</v>
          </cell>
        </row>
        <row r="125">
          <cell r="F125">
            <v>0.57894736842105265</v>
          </cell>
        </row>
        <row r="126">
          <cell r="F126">
            <v>0.47058823529411764</v>
          </cell>
        </row>
        <row r="127">
          <cell r="F127">
            <v>0.60550458715596334</v>
          </cell>
        </row>
        <row r="128">
          <cell r="F128">
            <v>0.88235294117647056</v>
          </cell>
        </row>
        <row r="129">
          <cell r="F129">
            <v>0.63636363636363635</v>
          </cell>
        </row>
        <row r="130">
          <cell r="F130">
            <v>0.59740259740259738</v>
          </cell>
        </row>
        <row r="131">
          <cell r="F131">
            <v>0.29545454545454547</v>
          </cell>
        </row>
        <row r="132">
          <cell r="F132">
            <v>0.14285714285714285</v>
          </cell>
        </row>
        <row r="133">
          <cell r="F133">
            <v>0.34090909090909088</v>
          </cell>
        </row>
        <row r="134">
          <cell r="F134">
            <v>0.57837837837837835</v>
          </cell>
        </row>
      </sheetData>
      <sheetData sheetId="2"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4.3478260869565216E-2</v>
          </cell>
        </row>
        <row r="13">
          <cell r="F13">
            <v>4.6153846153846156E-2</v>
          </cell>
        </row>
        <row r="14">
          <cell r="F14">
            <v>0.20370370370370369</v>
          </cell>
        </row>
        <row r="15">
          <cell r="F15">
            <v>7.1428571428571425E-2</v>
          </cell>
        </row>
        <row r="16">
          <cell r="F16">
            <v>3.5714285714285712E-2</v>
          </cell>
        </row>
        <row r="17">
          <cell r="F17">
            <v>0.25</v>
          </cell>
        </row>
        <row r="18">
          <cell r="F18">
            <v>6.9767441860465115E-2</v>
          </cell>
        </row>
        <row r="19">
          <cell r="F19">
            <v>0.3611111111111111</v>
          </cell>
        </row>
        <row r="20">
          <cell r="F20">
            <v>8.3333333333333329E-2</v>
          </cell>
        </row>
        <row r="21">
          <cell r="F21">
            <v>1.020408163265306E-2</v>
          </cell>
        </row>
        <row r="22">
          <cell r="F22">
            <v>8.3606557377049182E-2</v>
          </cell>
        </row>
        <row r="25">
          <cell r="F25">
            <v>0</v>
          </cell>
        </row>
        <row r="26">
          <cell r="F26">
            <v>0.11475409836065574</v>
          </cell>
        </row>
        <row r="27">
          <cell r="F27">
            <v>0</v>
          </cell>
        </row>
        <row r="28">
          <cell r="F28">
            <v>0.13333333333333333</v>
          </cell>
        </row>
        <row r="29">
          <cell r="F29">
            <v>0.1044776119402985</v>
          </cell>
        </row>
        <row r="30">
          <cell r="F30">
            <v>0</v>
          </cell>
        </row>
        <row r="31">
          <cell r="F31">
            <v>0.19230769230769232</v>
          </cell>
        </row>
        <row r="32">
          <cell r="F32">
            <v>0.29032258064516131</v>
          </cell>
        </row>
        <row r="33">
          <cell r="F33">
            <v>9.0909090909090912E-2</v>
          </cell>
        </row>
        <row r="34">
          <cell r="F34">
            <v>0.13636363636363635</v>
          </cell>
        </row>
        <row r="35">
          <cell r="F35">
            <v>4.1666666666666664E-2</v>
          </cell>
        </row>
        <row r="36">
          <cell r="F36">
            <v>0.15</v>
          </cell>
        </row>
        <row r="37">
          <cell r="F37">
            <v>7.1428571428571425E-2</v>
          </cell>
        </row>
        <row r="38">
          <cell r="F38">
            <v>3.7037037037037035E-2</v>
          </cell>
        </row>
        <row r="39">
          <cell r="F39">
            <v>9.9650349650349648E-2</v>
          </cell>
        </row>
        <row r="42">
          <cell r="F42">
            <v>0</v>
          </cell>
        </row>
        <row r="43">
          <cell r="F43">
            <v>0.19696969696969696</v>
          </cell>
        </row>
        <row r="44">
          <cell r="F44">
            <v>0.5</v>
          </cell>
        </row>
        <row r="45">
          <cell r="F45">
            <v>0.21052631578947367</v>
          </cell>
        </row>
        <row r="46">
          <cell r="F46">
            <v>0.33333333333333331</v>
          </cell>
        </row>
        <row r="47">
          <cell r="F47">
            <v>1.4492753623188406E-2</v>
          </cell>
        </row>
        <row r="48">
          <cell r="F48">
            <v>0.16071428571428573</v>
          </cell>
        </row>
        <row r="49">
          <cell r="F49">
            <v>6.4516129032258063E-2</v>
          </cell>
        </row>
        <row r="50">
          <cell r="F50">
            <v>2.9411764705882353E-2</v>
          </cell>
        </row>
        <row r="51">
          <cell r="F51">
            <v>0.34090909090909088</v>
          </cell>
        </row>
        <row r="52">
          <cell r="F52">
            <v>0.14285714285714285</v>
          </cell>
        </row>
        <row r="53">
          <cell r="F53">
            <v>0.20512820512820512</v>
          </cell>
        </row>
        <row r="54">
          <cell r="F54">
            <v>0.43333333333333335</v>
          </cell>
        </row>
        <row r="55">
          <cell r="F55">
            <v>7.8651685393258425E-2</v>
          </cell>
        </row>
        <row r="56">
          <cell r="F56">
            <v>0.17504051863857376</v>
          </cell>
        </row>
        <row r="59">
          <cell r="F59">
            <v>0</v>
          </cell>
        </row>
        <row r="60">
          <cell r="F60">
            <v>0.38571428571428573</v>
          </cell>
        </row>
        <row r="61">
          <cell r="F61">
            <v>0.26666666666666666</v>
          </cell>
        </row>
        <row r="62">
          <cell r="F62">
            <v>0.29411764705882354</v>
          </cell>
        </row>
        <row r="63">
          <cell r="F63">
            <v>0.25675675675675674</v>
          </cell>
        </row>
        <row r="64">
          <cell r="F64">
            <v>4.8387096774193547E-2</v>
          </cell>
        </row>
        <row r="65">
          <cell r="F65">
            <v>0.22222222222222221</v>
          </cell>
        </row>
        <row r="66">
          <cell r="F66">
            <v>0.30769230769230771</v>
          </cell>
        </row>
        <row r="67">
          <cell r="F67">
            <v>0.10256410256410256</v>
          </cell>
        </row>
        <row r="68">
          <cell r="F68">
            <v>0.40540540540540543</v>
          </cell>
        </row>
        <row r="69">
          <cell r="F69">
            <v>0.16666666666666666</v>
          </cell>
        </row>
        <row r="70">
          <cell r="F70">
            <v>0.68888888888888888</v>
          </cell>
        </row>
        <row r="71">
          <cell r="F71">
            <v>0.33333333333333331</v>
          </cell>
        </row>
        <row r="72">
          <cell r="F72">
            <v>0.2857142857142857</v>
          </cell>
        </row>
        <row r="73">
          <cell r="F73">
            <v>0.27980132450331124</v>
          </cell>
        </row>
        <row r="76">
          <cell r="F76">
            <v>0</v>
          </cell>
        </row>
        <row r="77">
          <cell r="F77">
            <v>0.23529411764705882</v>
          </cell>
        </row>
        <row r="78">
          <cell r="F78">
            <v>0.30769230769230771</v>
          </cell>
        </row>
        <row r="79">
          <cell r="F79">
            <v>0.27777777777777779</v>
          </cell>
        </row>
        <row r="80">
          <cell r="F80">
            <v>0.22535211267605634</v>
          </cell>
        </row>
        <row r="81">
          <cell r="F81">
            <v>0.19672131147540983</v>
          </cell>
        </row>
        <row r="82">
          <cell r="F82">
            <v>0.45098039215686275</v>
          </cell>
        </row>
        <row r="83">
          <cell r="F83">
            <v>0.36</v>
          </cell>
        </row>
        <row r="84">
          <cell r="F84">
            <v>0.23076923076923078</v>
          </cell>
        </row>
        <row r="85">
          <cell r="F85">
            <v>0.36842105263157893</v>
          </cell>
        </row>
        <row r="86">
          <cell r="F86">
            <v>0.14634146341463414</v>
          </cell>
        </row>
        <row r="87">
          <cell r="F87">
            <v>0.70731707317073167</v>
          </cell>
        </row>
        <row r="88">
          <cell r="F88">
            <v>0.55000000000000004</v>
          </cell>
        </row>
        <row r="89">
          <cell r="F89">
            <v>0.19480519480519481</v>
          </cell>
        </row>
        <row r="90">
          <cell r="F90">
            <v>0.30303030303030304</v>
          </cell>
        </row>
        <row r="93">
          <cell r="F93">
            <v>0.15384615384615385</v>
          </cell>
        </row>
        <row r="94">
          <cell r="F94">
            <v>0.54666666666666663</v>
          </cell>
        </row>
        <row r="95">
          <cell r="F95">
            <v>0.81818181818181823</v>
          </cell>
        </row>
        <row r="96">
          <cell r="F96">
            <v>5.8823529411764705E-2</v>
          </cell>
        </row>
        <row r="97">
          <cell r="F97">
            <v>0.22535211267605634</v>
          </cell>
        </row>
        <row r="98">
          <cell r="F98">
            <v>0.11428571428571428</v>
          </cell>
        </row>
        <row r="99">
          <cell r="F99">
            <v>0.38181818181818183</v>
          </cell>
        </row>
        <row r="100">
          <cell r="F100">
            <v>0.44444444444444442</v>
          </cell>
        </row>
        <row r="101">
          <cell r="F101">
            <v>0.26470588235294118</v>
          </cell>
        </row>
        <row r="102">
          <cell r="F102">
            <v>0.47499999999999998</v>
          </cell>
        </row>
        <row r="103">
          <cell r="F103">
            <v>0.37777777777777777</v>
          </cell>
        </row>
        <row r="104">
          <cell r="F104">
            <v>0.73170731707317072</v>
          </cell>
        </row>
        <row r="105">
          <cell r="F105">
            <v>0.8125</v>
          </cell>
        </row>
        <row r="106">
          <cell r="F106">
            <v>0.375</v>
          </cell>
        </row>
        <row r="107">
          <cell r="F107">
            <v>0.61290322580645162</v>
          </cell>
        </row>
        <row r="108">
          <cell r="F108">
            <v>0.41552511415525112</v>
          </cell>
        </row>
        <row r="111">
          <cell r="F111">
            <v>0</v>
          </cell>
        </row>
        <row r="112">
          <cell r="F112">
            <v>0.69565217391304346</v>
          </cell>
        </row>
        <row r="113">
          <cell r="F113">
            <v>0.81818181818181823</v>
          </cell>
        </row>
        <row r="114">
          <cell r="F114">
            <v>0.2</v>
          </cell>
        </row>
        <row r="115">
          <cell r="F115">
            <v>0.59420289855072461</v>
          </cell>
        </row>
        <row r="116">
          <cell r="F116">
            <v>0.25</v>
          </cell>
        </row>
        <row r="117">
          <cell r="F117">
            <v>0.48148148148148145</v>
          </cell>
        </row>
        <row r="118">
          <cell r="F118">
            <v>0.66666666666666663</v>
          </cell>
        </row>
        <row r="119">
          <cell r="F119">
            <v>0.5714285714285714</v>
          </cell>
        </row>
        <row r="120">
          <cell r="F120">
            <v>0.35</v>
          </cell>
        </row>
        <row r="121">
          <cell r="F121">
            <v>0.39583333333333331</v>
          </cell>
        </row>
        <row r="122">
          <cell r="F122">
            <v>0.6</v>
          </cell>
        </row>
        <row r="123">
          <cell r="F123">
            <v>0.7</v>
          </cell>
        </row>
        <row r="124">
          <cell r="F124">
            <v>0.54545454545454541</v>
          </cell>
        </row>
        <row r="125">
          <cell r="F125">
            <v>0.578125</v>
          </cell>
        </row>
        <row r="126">
          <cell r="F126">
            <v>0.51472868217054268</v>
          </cell>
        </row>
        <row r="129">
          <cell r="F129">
            <v>0</v>
          </cell>
        </row>
        <row r="130">
          <cell r="F130">
            <v>0.71830985915492962</v>
          </cell>
        </row>
        <row r="131">
          <cell r="F131">
            <v>0.69230769230769229</v>
          </cell>
        </row>
        <row r="132">
          <cell r="F132">
            <v>0.21428571428571427</v>
          </cell>
        </row>
        <row r="133">
          <cell r="F133">
            <v>0.6428571428571429</v>
          </cell>
        </row>
        <row r="134">
          <cell r="F134">
            <v>0.30158730158730157</v>
          </cell>
        </row>
        <row r="135">
          <cell r="F135">
            <v>0.55555555555555558</v>
          </cell>
        </row>
        <row r="136">
          <cell r="F136">
            <v>0.7857142857142857</v>
          </cell>
        </row>
        <row r="137">
          <cell r="F137">
            <v>0.625</v>
          </cell>
        </row>
        <row r="138">
          <cell r="F138">
            <v>0.40476190476190477</v>
          </cell>
        </row>
        <row r="139">
          <cell r="F139">
            <v>0.52272727272727271</v>
          </cell>
        </row>
        <row r="140">
          <cell r="F140">
            <v>0.60526315789473684</v>
          </cell>
        </row>
        <row r="141">
          <cell r="F141">
            <v>0.83333333333333337</v>
          </cell>
        </row>
        <row r="142">
          <cell r="F142">
            <v>0.52238805970149249</v>
          </cell>
        </row>
        <row r="143">
          <cell r="F143">
            <v>0.57692307692307687</v>
          </cell>
        </row>
        <row r="144">
          <cell r="F144">
            <v>0.56043956043956045</v>
          </cell>
        </row>
      </sheetData>
      <sheetData sheetId="3">
        <row r="8">
          <cell r="F8">
            <v>2.2727272727272728E-2</v>
          </cell>
        </row>
        <row r="9">
          <cell r="F9">
            <v>7.6923076923076927E-2</v>
          </cell>
        </row>
        <row r="10">
          <cell r="F10">
            <v>0.2857142857142857</v>
          </cell>
        </row>
        <row r="11">
          <cell r="F11">
            <v>0.55172413793103448</v>
          </cell>
        </row>
        <row r="12">
          <cell r="F12">
            <v>0.33898305084745761</v>
          </cell>
        </row>
        <row r="13">
          <cell r="F13">
            <v>6.1224489795918366E-2</v>
          </cell>
        </row>
        <row r="14">
          <cell r="F14">
            <v>0</v>
          </cell>
        </row>
        <row r="15">
          <cell r="F15">
            <v>0.12307692307692308</v>
          </cell>
        </row>
        <row r="16">
          <cell r="F16">
            <v>0</v>
          </cell>
        </row>
        <row r="20">
          <cell r="F20">
            <v>0.12413793103448276</v>
          </cell>
        </row>
        <row r="21">
          <cell r="F21">
            <v>0.26666666666666666</v>
          </cell>
        </row>
        <row r="22">
          <cell r="F22">
            <v>0.27450980392156865</v>
          </cell>
        </row>
        <row r="23">
          <cell r="F23">
            <v>0.4</v>
          </cell>
        </row>
        <row r="24">
          <cell r="F24">
            <v>0.19642857142857142</v>
          </cell>
        </row>
        <row r="25">
          <cell r="F25">
            <v>0.12962962962962962</v>
          </cell>
        </row>
        <row r="26">
          <cell r="F26">
            <v>1.7543859649122806E-2</v>
          </cell>
        </row>
        <row r="27">
          <cell r="F27">
            <v>0.2</v>
          </cell>
        </row>
        <row r="28">
          <cell r="F28">
            <v>8.5106382978723402E-2</v>
          </cell>
        </row>
        <row r="32">
          <cell r="F32">
            <v>6.5040650406504072E-2</v>
          </cell>
        </row>
        <row r="33">
          <cell r="F33">
            <v>7.1428571428571425E-2</v>
          </cell>
        </row>
        <row r="34">
          <cell r="F34">
            <v>0.22727272727272727</v>
          </cell>
        </row>
        <row r="35">
          <cell r="F35">
            <v>0.53125</v>
          </cell>
        </row>
        <row r="36">
          <cell r="F36">
            <v>0.41818181818181815</v>
          </cell>
        </row>
        <row r="37">
          <cell r="F37">
            <v>0.11363636363636363</v>
          </cell>
        </row>
        <row r="38">
          <cell r="F38">
            <v>7.5471698113207544E-2</v>
          </cell>
        </row>
        <row r="39">
          <cell r="F39">
            <v>0.29310344827586204</v>
          </cell>
        </row>
        <row r="40">
          <cell r="F40">
            <v>0.52380952380952384</v>
          </cell>
        </row>
        <row r="44">
          <cell r="F44">
            <v>0.38834951456310679</v>
          </cell>
        </row>
        <row r="45">
          <cell r="F45">
            <v>0.20689655172413793</v>
          </cell>
        </row>
        <row r="46">
          <cell r="F46">
            <v>0.40540540540540543</v>
          </cell>
        </row>
        <row r="47">
          <cell r="F47">
            <v>0.58333333333333337</v>
          </cell>
        </row>
        <row r="48">
          <cell r="F48">
            <v>0.18333333333333332</v>
          </cell>
        </row>
        <row r="49">
          <cell r="F49">
            <v>0.2857142857142857</v>
          </cell>
        </row>
        <row r="50">
          <cell r="F50">
            <v>0.14285714285714285</v>
          </cell>
        </row>
        <row r="51">
          <cell r="F51">
            <v>0.17241379310344829</v>
          </cell>
        </row>
        <row r="52">
          <cell r="F52">
            <v>6.6666666666666666E-2</v>
          </cell>
        </row>
        <row r="56">
          <cell r="F56">
            <v>0.63157894736842102</v>
          </cell>
        </row>
        <row r="57">
          <cell r="F57">
            <v>0.4</v>
          </cell>
        </row>
        <row r="58">
          <cell r="F58">
            <v>0.45</v>
          </cell>
        </row>
        <row r="59">
          <cell r="F59">
            <v>0.6428571428571429</v>
          </cell>
        </row>
        <row r="60">
          <cell r="F60">
            <v>0.63157894736842102</v>
          </cell>
        </row>
        <row r="61">
          <cell r="F61">
            <v>0.32558139534883723</v>
          </cell>
        </row>
        <row r="62">
          <cell r="F62">
            <v>0.55319148936170215</v>
          </cell>
        </row>
        <row r="63">
          <cell r="F63">
            <v>0.5</v>
          </cell>
        </row>
        <row r="64">
          <cell r="F64">
            <v>8.6956521739130432E-2</v>
          </cell>
        </row>
        <row r="68">
          <cell r="F68">
            <v>0.18421052631578946</v>
          </cell>
        </row>
        <row r="69">
          <cell r="F69">
            <v>2.0408163265306121E-2</v>
          </cell>
        </row>
        <row r="70">
          <cell r="F70">
            <v>6.6666666666666666E-2</v>
          </cell>
        </row>
        <row r="71">
          <cell r="F71">
            <v>0.2558139534883721</v>
          </cell>
        </row>
        <row r="72">
          <cell r="F72">
            <v>0.40625</v>
          </cell>
        </row>
        <row r="73">
          <cell r="F73">
            <v>3.6363636363636362E-2</v>
          </cell>
        </row>
        <row r="74">
          <cell r="F74">
            <v>0.13953488372093023</v>
          </cell>
        </row>
        <row r="75">
          <cell r="F75">
            <v>0.1111111111111111</v>
          </cell>
        </row>
        <row r="76">
          <cell r="F76">
            <v>0.26229508196721313</v>
          </cell>
        </row>
        <row r="77">
          <cell r="F77">
            <v>4.3478260869565216E-2</v>
          </cell>
        </row>
        <row r="81">
          <cell r="F81">
            <v>0.27777777777777779</v>
          </cell>
        </row>
        <row r="82">
          <cell r="F82">
            <v>0.72881355932203384</v>
          </cell>
        </row>
        <row r="83">
          <cell r="F83">
            <v>0.90625</v>
          </cell>
        </row>
        <row r="84">
          <cell r="F84">
            <v>0.8571428571428571</v>
          </cell>
        </row>
        <row r="85">
          <cell r="F85">
            <v>0.71875</v>
          </cell>
        </row>
        <row r="86">
          <cell r="F86">
            <v>0.73584905660377353</v>
          </cell>
        </row>
        <row r="87">
          <cell r="F87">
            <v>0.56000000000000005</v>
          </cell>
        </row>
        <row r="88">
          <cell r="F88">
            <v>0.5957446808510638</v>
          </cell>
        </row>
        <row r="89">
          <cell r="F89">
            <v>0.84848484848484851</v>
          </cell>
        </row>
        <row r="90">
          <cell r="F90">
            <v>0.46153846153846156</v>
          </cell>
        </row>
        <row r="94">
          <cell r="F94">
            <v>0.61538461538461542</v>
          </cell>
        </row>
        <row r="95">
          <cell r="F95">
            <v>0.62962962962962965</v>
          </cell>
        </row>
        <row r="96">
          <cell r="F96">
            <v>0.70270270270270274</v>
          </cell>
        </row>
        <row r="97">
          <cell r="F97">
            <v>0.69047619047619047</v>
          </cell>
        </row>
        <row r="98">
          <cell r="F98">
            <v>0.93103448275862066</v>
          </cell>
        </row>
        <row r="99">
          <cell r="F99">
            <v>0.81818181818181823</v>
          </cell>
        </row>
        <row r="100">
          <cell r="F100">
            <v>0.54</v>
          </cell>
        </row>
        <row r="101">
          <cell r="F101">
            <v>0.55769230769230771</v>
          </cell>
        </row>
        <row r="102">
          <cell r="F102">
            <v>0.765625</v>
          </cell>
        </row>
        <row r="103">
          <cell r="F103">
            <v>0.22727272727272727</v>
          </cell>
        </row>
        <row r="107">
          <cell r="F107">
            <v>0.60493827160493829</v>
          </cell>
        </row>
        <row r="108">
          <cell r="F108">
            <v>0.82352941176470584</v>
          </cell>
        </row>
        <row r="109">
          <cell r="F109">
            <v>0.83333333333333337</v>
          </cell>
        </row>
        <row r="110">
          <cell r="F110">
            <v>0.74468085106382975</v>
          </cell>
        </row>
        <row r="111">
          <cell r="F111">
            <v>0.8</v>
          </cell>
        </row>
        <row r="112">
          <cell r="F112">
            <v>0.9464285714285714</v>
          </cell>
        </row>
        <row r="113">
          <cell r="F113">
            <v>0.82</v>
          </cell>
        </row>
        <row r="114">
          <cell r="F114">
            <v>0.67924528301886788</v>
          </cell>
        </row>
        <row r="115">
          <cell r="F115">
            <v>0.84126984126984128</v>
          </cell>
        </row>
        <row r="116">
          <cell r="F116">
            <v>0.5</v>
          </cell>
        </row>
        <row r="120">
          <cell r="F120">
            <v>0.70886075949367089</v>
          </cell>
        </row>
        <row r="121">
          <cell r="F121">
            <v>0.92156862745098034</v>
          </cell>
        </row>
        <row r="122">
          <cell r="F122">
            <v>0.91891891891891897</v>
          </cell>
        </row>
        <row r="123">
          <cell r="F123">
            <v>0.82608695652173914</v>
          </cell>
        </row>
        <row r="124">
          <cell r="F124">
            <v>0.93103448275862066</v>
          </cell>
        </row>
        <row r="125">
          <cell r="F125">
            <v>0.92592592592592593</v>
          </cell>
        </row>
        <row r="126">
          <cell r="F126">
            <v>0.76470588235294112</v>
          </cell>
        </row>
        <row r="127">
          <cell r="F127">
            <v>0.76</v>
          </cell>
        </row>
        <row r="128">
          <cell r="F128">
            <v>0.75</v>
          </cell>
        </row>
        <row r="129">
          <cell r="F129">
            <v>0.75</v>
          </cell>
        </row>
      </sheetData>
      <sheetData sheetId="4"/>
      <sheetData sheetId="5">
        <row r="20">
          <cell r="F20">
            <v>0.35820895522388058</v>
          </cell>
        </row>
        <row r="21">
          <cell r="F21">
            <v>0.56521739130434778</v>
          </cell>
        </row>
        <row r="22">
          <cell r="F22">
            <v>0.21212121212121213</v>
          </cell>
        </row>
        <row r="23">
          <cell r="F23">
            <v>0.38118811881188119</v>
          </cell>
        </row>
        <row r="26">
          <cell r="F26">
            <v>0.3559322033898305</v>
          </cell>
        </row>
        <row r="27">
          <cell r="F27">
            <v>0.23529411764705882</v>
          </cell>
        </row>
        <row r="28">
          <cell r="F28">
            <v>0.5</v>
          </cell>
        </row>
        <row r="29">
          <cell r="F29">
            <v>0.41666666666666669</v>
          </cell>
        </row>
        <row r="30">
          <cell r="F30">
            <v>0.12820512820512819</v>
          </cell>
        </row>
        <row r="31">
          <cell r="F31">
            <v>0.10526315789473684</v>
          </cell>
        </row>
        <row r="32">
          <cell r="F32">
            <v>0.25510204081632654</v>
          </cell>
        </row>
        <row r="35">
          <cell r="F35">
            <v>0.19354838709677419</v>
          </cell>
        </row>
        <row r="36">
          <cell r="F36">
            <v>9.375E-2</v>
          </cell>
        </row>
        <row r="37">
          <cell r="F37">
            <v>0.70588235294117652</v>
          </cell>
        </row>
        <row r="38">
          <cell r="F38">
            <v>7.1428571428571425E-2</v>
          </cell>
        </row>
        <row r="39">
          <cell r="F39">
            <v>0.2857142857142857</v>
          </cell>
        </row>
        <row r="40">
          <cell r="F40">
            <v>0.17142857142857143</v>
          </cell>
        </row>
        <row r="41">
          <cell r="F41">
            <v>0.18421052631578946</v>
          </cell>
        </row>
        <row r="42">
          <cell r="F42">
            <v>0.25757575757575757</v>
          </cell>
        </row>
        <row r="46">
          <cell r="F46">
            <v>0.34482758620689657</v>
          </cell>
        </row>
        <row r="47">
          <cell r="F47">
            <v>0.48648648648648651</v>
          </cell>
        </row>
        <row r="48">
          <cell r="F48">
            <v>0.51515151515151514</v>
          </cell>
        </row>
        <row r="49">
          <cell r="F49">
            <v>0.13333333333333333</v>
          </cell>
        </row>
        <row r="50">
          <cell r="F50">
            <v>0.25</v>
          </cell>
        </row>
        <row r="51">
          <cell r="F51">
            <v>7.8947368421052627E-2</v>
          </cell>
        </row>
        <row r="52">
          <cell r="F52">
            <v>0.15</v>
          </cell>
        </row>
        <row r="53">
          <cell r="F53">
            <v>0.28846153846153844</v>
          </cell>
        </row>
        <row r="56">
          <cell r="F56">
            <v>0.34615384615384615</v>
          </cell>
        </row>
        <row r="57">
          <cell r="F57">
            <v>0.54285714285714282</v>
          </cell>
        </row>
        <row r="58">
          <cell r="F58">
            <v>0.68965517241379315</v>
          </cell>
        </row>
        <row r="59">
          <cell r="F59">
            <v>0.33333333333333331</v>
          </cell>
        </row>
        <row r="60">
          <cell r="F60">
            <v>0.17647058823529413</v>
          </cell>
        </row>
        <row r="61">
          <cell r="F61">
            <v>5.5555555555555552E-2</v>
          </cell>
        </row>
        <row r="62">
          <cell r="F62">
            <v>0</v>
          </cell>
        </row>
        <row r="63">
          <cell r="F63">
            <v>0.30051813471502592</v>
          </cell>
        </row>
        <row r="66">
          <cell r="F66">
            <v>0.10714285714285714</v>
          </cell>
        </row>
        <row r="67">
          <cell r="F67">
            <v>0.29411764705882354</v>
          </cell>
        </row>
        <row r="68">
          <cell r="F68">
            <v>0.48275862068965519</v>
          </cell>
        </row>
        <row r="69">
          <cell r="F69">
            <v>0.35714285714285715</v>
          </cell>
        </row>
        <row r="70">
          <cell r="F70">
            <v>0.13333333333333333</v>
          </cell>
        </row>
        <row r="71">
          <cell r="F71">
            <v>2.6315789473684209E-2</v>
          </cell>
        </row>
        <row r="72">
          <cell r="F72">
            <v>2.3255813953488372E-2</v>
          </cell>
        </row>
        <row r="73">
          <cell r="F73">
            <v>0.17910447761194029</v>
          </cell>
        </row>
      </sheetData>
      <sheetData sheetId="6">
        <row r="23">
          <cell r="F23">
            <v>0.10344827586206896</v>
          </cell>
        </row>
        <row r="24">
          <cell r="F24">
            <v>0.66666666666666663</v>
          </cell>
        </row>
        <row r="25">
          <cell r="F25">
            <v>0.37037037037037035</v>
          </cell>
        </row>
        <row r="26">
          <cell r="F26">
            <v>0.73684210526315785</v>
          </cell>
        </row>
        <row r="27">
          <cell r="F27">
            <v>0.27777777777777779</v>
          </cell>
        </row>
        <row r="28">
          <cell r="F28">
            <v>0.38636363636363635</v>
          </cell>
        </row>
        <row r="31">
          <cell r="F31">
            <v>0.17857142857142858</v>
          </cell>
        </row>
        <row r="32">
          <cell r="F32">
            <v>0.69565217391304346</v>
          </cell>
        </row>
        <row r="33">
          <cell r="F33">
            <v>0.51851851851851849</v>
          </cell>
        </row>
        <row r="34">
          <cell r="F34">
            <v>0.95</v>
          </cell>
        </row>
        <row r="35">
          <cell r="F35">
            <v>0.78947368421052633</v>
          </cell>
        </row>
        <row r="36">
          <cell r="F36">
            <v>0.61764705882352944</v>
          </cell>
        </row>
        <row r="39">
          <cell r="F39">
            <v>0.88</v>
          </cell>
        </row>
        <row r="40">
          <cell r="F40">
            <v>0.8</v>
          </cell>
        </row>
        <row r="41">
          <cell r="F41">
            <v>0.68</v>
          </cell>
        </row>
        <row r="42">
          <cell r="F42">
            <v>0.15</v>
          </cell>
        </row>
        <row r="43">
          <cell r="F43">
            <v>0.16666666666666666</v>
          </cell>
        </row>
        <row r="44">
          <cell r="F44">
            <v>0.55462184873949583</v>
          </cell>
        </row>
        <row r="47">
          <cell r="F47">
            <v>0.29166666666666669</v>
          </cell>
        </row>
        <row r="48">
          <cell r="F48">
            <v>0.48</v>
          </cell>
        </row>
        <row r="49">
          <cell r="F49">
            <v>0.77272727272727271</v>
          </cell>
        </row>
        <row r="50">
          <cell r="F50">
            <v>0.14814814814814814</v>
          </cell>
        </row>
        <row r="51">
          <cell r="F51">
            <v>4.1666666666666664E-2</v>
          </cell>
        </row>
        <row r="52">
          <cell r="F52">
            <v>0.33606557377049179</v>
          </cell>
        </row>
        <row r="56">
          <cell r="F56">
            <v>0.5714285714285714</v>
          </cell>
        </row>
        <row r="57">
          <cell r="F57">
            <v>0.7</v>
          </cell>
        </row>
        <row r="58">
          <cell r="F58">
            <v>0.86363636363636365</v>
          </cell>
        </row>
        <row r="59">
          <cell r="F59">
            <v>0.61904761904761907</v>
          </cell>
        </row>
        <row r="60">
          <cell r="F60">
            <v>0.25925925925925924</v>
          </cell>
        </row>
        <row r="61">
          <cell r="F61">
            <v>0.59375</v>
          </cell>
        </row>
        <row r="64">
          <cell r="F64">
            <v>0.75</v>
          </cell>
        </row>
        <row r="65">
          <cell r="F65">
            <v>0.59259259259259256</v>
          </cell>
        </row>
        <row r="66">
          <cell r="F66">
            <v>0.9</v>
          </cell>
        </row>
        <row r="67">
          <cell r="F67">
            <v>0.78947368421052633</v>
          </cell>
        </row>
        <row r="68">
          <cell r="F68">
            <v>0.76923076923076927</v>
          </cell>
        </row>
        <row r="69">
          <cell r="F69">
            <v>0.75</v>
          </cell>
        </row>
        <row r="72">
          <cell r="F72">
            <v>0.79166666666666663</v>
          </cell>
        </row>
        <row r="73">
          <cell r="F73">
            <v>0.75757575757575757</v>
          </cell>
        </row>
        <row r="74">
          <cell r="F74">
            <v>0.7142857142857143</v>
          </cell>
        </row>
        <row r="75">
          <cell r="F75">
            <v>0.77272727272727271</v>
          </cell>
        </row>
        <row r="76">
          <cell r="F76">
            <v>0.80769230769230771</v>
          </cell>
        </row>
        <row r="77">
          <cell r="F77">
            <v>0.76984126984126988</v>
          </cell>
        </row>
      </sheetData>
      <sheetData sheetId="7">
        <row r="8">
          <cell r="F8">
            <v>0.05</v>
          </cell>
        </row>
        <row r="9">
          <cell r="F9">
            <v>2.4390243902439025E-2</v>
          </cell>
        </row>
        <row r="10">
          <cell r="F10">
            <v>0.45454545454545453</v>
          </cell>
        </row>
        <row r="11">
          <cell r="F11">
            <v>0.75</v>
          </cell>
        </row>
        <row r="12">
          <cell r="F12">
            <v>0.31818181818181818</v>
          </cell>
        </row>
        <row r="13">
          <cell r="F13">
            <v>0.15789473684210525</v>
          </cell>
        </row>
        <row r="14">
          <cell r="F14">
            <v>6.25E-2</v>
          </cell>
        </row>
        <row r="15">
          <cell r="F15">
            <v>5.7142857142857141E-2</v>
          </cell>
        </row>
        <row r="16">
          <cell r="F16">
            <v>0.1</v>
          </cell>
        </row>
        <row r="17">
          <cell r="F17">
            <v>0.22222222222222221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0.48484848484848486</v>
          </cell>
        </row>
        <row r="24">
          <cell r="F24">
            <v>0.86363636363636365</v>
          </cell>
        </row>
        <row r="25">
          <cell r="F25">
            <v>0.57894736842105265</v>
          </cell>
        </row>
        <row r="26">
          <cell r="F26">
            <v>0.45</v>
          </cell>
        </row>
        <row r="27">
          <cell r="F27">
            <v>0.3611111111111111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0.10526315789473684</v>
          </cell>
        </row>
        <row r="34">
          <cell r="F34">
            <v>0</v>
          </cell>
        </row>
        <row r="35">
          <cell r="F35">
            <v>8.5365853658536592E-2</v>
          </cell>
        </row>
        <row r="36">
          <cell r="F36">
            <v>0.6097560975609756</v>
          </cell>
        </row>
        <row r="37">
          <cell r="F37">
            <v>0.88461538461538458</v>
          </cell>
        </row>
        <row r="38">
          <cell r="F38">
            <v>0.66666666666666663</v>
          </cell>
        </row>
        <row r="39">
          <cell r="F39">
            <v>0.625</v>
          </cell>
        </row>
        <row r="40">
          <cell r="F40">
            <v>0.23529411764705882</v>
          </cell>
        </row>
        <row r="41">
          <cell r="F41">
            <v>5.5555555555555552E-2</v>
          </cell>
        </row>
        <row r="42">
          <cell r="F42">
            <v>0.375</v>
          </cell>
        </row>
        <row r="43">
          <cell r="F43">
            <v>5.8823529411764705E-2</v>
          </cell>
        </row>
        <row r="47">
          <cell r="F47">
            <v>0</v>
          </cell>
        </row>
        <row r="48">
          <cell r="F48">
            <v>6.7567567567567571E-2</v>
          </cell>
        </row>
        <row r="49">
          <cell r="F49">
            <v>0.61702127659574468</v>
          </cell>
        </row>
        <row r="50">
          <cell r="F50">
            <v>0.81481481481481477</v>
          </cell>
        </row>
        <row r="51">
          <cell r="F51">
            <v>0.73684210526315785</v>
          </cell>
        </row>
        <row r="52">
          <cell r="F52">
            <v>0.5</v>
          </cell>
        </row>
        <row r="53">
          <cell r="F53">
            <v>0.32142857142857145</v>
          </cell>
        </row>
        <row r="54">
          <cell r="F54">
            <v>8.5714285714285715E-2</v>
          </cell>
        </row>
        <row r="55">
          <cell r="F55">
            <v>0.33333333333333331</v>
          </cell>
        </row>
        <row r="56">
          <cell r="F56">
            <v>0.12</v>
          </cell>
        </row>
        <row r="60">
          <cell r="F60">
            <v>0</v>
          </cell>
        </row>
        <row r="61">
          <cell r="F61">
            <v>0.5</v>
          </cell>
        </row>
        <row r="62">
          <cell r="F62">
            <v>0.44444444444444442</v>
          </cell>
        </row>
        <row r="63">
          <cell r="F63">
            <v>0.9375</v>
          </cell>
        </row>
        <row r="64">
          <cell r="F64">
            <v>0.75</v>
          </cell>
        </row>
        <row r="65">
          <cell r="F65">
            <v>0.95</v>
          </cell>
        </row>
        <row r="66">
          <cell r="F66">
            <v>1</v>
          </cell>
        </row>
        <row r="67">
          <cell r="F67">
            <v>0.74193548387096775</v>
          </cell>
        </row>
        <row r="68">
          <cell r="F68">
            <v>0.30769230769230771</v>
          </cell>
        </row>
        <row r="69">
          <cell r="F69">
            <v>0.33333333333333331</v>
          </cell>
        </row>
        <row r="70">
          <cell r="F70">
            <v>0.35294117647058826</v>
          </cell>
        </row>
        <row r="74">
          <cell r="F74">
            <v>0</v>
          </cell>
        </row>
        <row r="75">
          <cell r="F75">
            <v>3.5714285714285712E-2</v>
          </cell>
        </row>
        <row r="76">
          <cell r="F76">
            <v>0.15384615384615385</v>
          </cell>
        </row>
        <row r="77">
          <cell r="F77">
            <v>0.82352941176470584</v>
          </cell>
        </row>
        <row r="78">
          <cell r="F78">
            <v>0.52941176470588236</v>
          </cell>
        </row>
        <row r="79">
          <cell r="F79">
            <v>0.45</v>
          </cell>
        </row>
        <row r="80">
          <cell r="F80">
            <v>0.18181818181818182</v>
          </cell>
        </row>
        <row r="81">
          <cell r="F81">
            <v>0.27777777777777779</v>
          </cell>
        </row>
        <row r="82">
          <cell r="F82">
            <v>0.10810810810810811</v>
          </cell>
        </row>
        <row r="83">
          <cell r="F83">
            <v>0.1111111111111111</v>
          </cell>
        </row>
        <row r="84">
          <cell r="F84">
            <v>0.21212121212121213</v>
          </cell>
        </row>
        <row r="88">
          <cell r="F88">
            <v>0</v>
          </cell>
        </row>
        <row r="89">
          <cell r="F89">
            <v>3.896103896103896E-2</v>
          </cell>
        </row>
        <row r="90">
          <cell r="F90">
            <v>0.22727272727272727</v>
          </cell>
        </row>
        <row r="91">
          <cell r="F91">
            <v>0.8666666666666667</v>
          </cell>
        </row>
        <row r="92">
          <cell r="F92">
            <v>0.55555555555555558</v>
          </cell>
        </row>
        <row r="93">
          <cell r="F93">
            <v>0.22727272727272727</v>
          </cell>
        </row>
        <row r="94">
          <cell r="F94">
            <v>0</v>
          </cell>
        </row>
        <row r="95">
          <cell r="F95">
            <v>0.17647058823529413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3.125E-2</v>
          </cell>
        </row>
        <row r="102">
          <cell r="F102">
            <v>3.0303030303030304E-2</v>
          </cell>
        </row>
        <row r="103">
          <cell r="F103">
            <v>0.73684210526315785</v>
          </cell>
        </row>
        <row r="104">
          <cell r="F104">
            <v>0.46666666666666667</v>
          </cell>
        </row>
        <row r="105">
          <cell r="F105">
            <v>0.94444444444444442</v>
          </cell>
        </row>
        <row r="106">
          <cell r="F106">
            <v>0.7857142857142857</v>
          </cell>
        </row>
        <row r="107">
          <cell r="F107">
            <v>0.8</v>
          </cell>
        </row>
        <row r="108">
          <cell r="F108">
            <v>0.15789473684210525</v>
          </cell>
        </row>
        <row r="109">
          <cell r="F109">
            <v>0.45161290322580644</v>
          </cell>
        </row>
        <row r="110">
          <cell r="F110">
            <v>0.48571428571428571</v>
          </cell>
        </row>
        <row r="111">
          <cell r="F111">
            <v>0.2</v>
          </cell>
        </row>
        <row r="112">
          <cell r="F112">
            <v>0.63157894736842102</v>
          </cell>
        </row>
        <row r="113">
          <cell r="F113">
            <v>0.64406779661016944</v>
          </cell>
        </row>
        <row r="117">
          <cell r="F117">
            <v>0.1951219512195122</v>
          </cell>
        </row>
        <row r="118">
          <cell r="F118">
            <v>0.76146788990825687</v>
          </cell>
        </row>
        <row r="119">
          <cell r="F119">
            <v>0.82758620689655171</v>
          </cell>
        </row>
        <row r="120">
          <cell r="F120">
            <v>0.8666666666666667</v>
          </cell>
        </row>
        <row r="121">
          <cell r="F121">
            <v>0.8571428571428571</v>
          </cell>
        </row>
        <row r="122">
          <cell r="F122">
            <v>0.75</v>
          </cell>
        </row>
        <row r="123">
          <cell r="F123">
            <v>0.78947368421052633</v>
          </cell>
        </row>
        <row r="124">
          <cell r="F124">
            <v>0.54838709677419351</v>
          </cell>
        </row>
        <row r="125">
          <cell r="F125">
            <v>0.10810810810810811</v>
          </cell>
        </row>
        <row r="126">
          <cell r="F126">
            <v>0.2</v>
          </cell>
        </row>
        <row r="127">
          <cell r="F127">
            <v>0.625</v>
          </cell>
        </row>
        <row r="128">
          <cell r="F128">
            <v>0.70886075949367089</v>
          </cell>
        </row>
        <row r="132">
          <cell r="F132">
            <v>0.17647058823529413</v>
          </cell>
        </row>
        <row r="133">
          <cell r="F133">
            <v>0.29464285714285715</v>
          </cell>
        </row>
        <row r="134">
          <cell r="F134">
            <v>0.625</v>
          </cell>
        </row>
        <row r="135">
          <cell r="F135">
            <v>0.58823529411764708</v>
          </cell>
        </row>
        <row r="136">
          <cell r="F136">
            <v>0.8571428571428571</v>
          </cell>
        </row>
        <row r="137">
          <cell r="F137">
            <v>0.68421052631578949</v>
          </cell>
        </row>
        <row r="138">
          <cell r="F138">
            <v>0.17391304347826086</v>
          </cell>
        </row>
        <row r="139">
          <cell r="F139">
            <v>0.65625</v>
          </cell>
        </row>
        <row r="140">
          <cell r="F140">
            <v>0.41025641025641024</v>
          </cell>
        </row>
        <row r="141">
          <cell r="F141">
            <v>0.72727272727272729</v>
          </cell>
        </row>
        <row r="142">
          <cell r="F142">
            <v>0.53846153846153844</v>
          </cell>
        </row>
        <row r="143">
          <cell r="F143">
            <v>0.6853932584269663</v>
          </cell>
        </row>
      </sheetData>
      <sheetData sheetId="8">
        <row r="8">
          <cell r="F8">
            <v>0.34782608695652173</v>
          </cell>
        </row>
        <row r="9">
          <cell r="F9">
            <v>0.14285714285714285</v>
          </cell>
        </row>
        <row r="10">
          <cell r="F10">
            <v>3.3333333333333333E-2</v>
          </cell>
        </row>
        <row r="11">
          <cell r="F11">
            <v>5.8823529411764705E-2</v>
          </cell>
        </row>
        <row r="12">
          <cell r="F12">
            <v>3.8461538461538464E-2</v>
          </cell>
        </row>
        <row r="13">
          <cell r="F13">
            <v>0.10256410256410256</v>
          </cell>
        </row>
        <row r="14">
          <cell r="F14">
            <v>4.3478260869565216E-2</v>
          </cell>
        </row>
        <row r="16">
          <cell r="F16">
            <v>7.3170731707317069E-2</v>
          </cell>
        </row>
        <row r="17">
          <cell r="F17">
            <v>0.13636363636363635</v>
          </cell>
        </row>
        <row r="18">
          <cell r="F18">
            <v>5.128205128205128E-2</v>
          </cell>
        </row>
        <row r="19">
          <cell r="F19">
            <v>9.2465753424657529E-2</v>
          </cell>
        </row>
        <row r="22">
          <cell r="F22">
            <v>0.52941176470588236</v>
          </cell>
        </row>
        <row r="23">
          <cell r="F23">
            <v>0.58064516129032262</v>
          </cell>
        </row>
        <row r="24">
          <cell r="F24">
            <v>0.22222222222222221</v>
          </cell>
        </row>
        <row r="25">
          <cell r="F25">
            <v>4.3478260869565216E-2</v>
          </cell>
        </row>
        <row r="26">
          <cell r="F26">
            <v>5.7142857142857141E-2</v>
          </cell>
        </row>
        <row r="27">
          <cell r="F27">
            <v>0.16279069767441862</v>
          </cell>
        </row>
        <row r="28">
          <cell r="F28">
            <v>3.125E-2</v>
          </cell>
        </row>
        <row r="30">
          <cell r="F30">
            <v>8.8235294117647065E-2</v>
          </cell>
        </row>
        <row r="31">
          <cell r="F31">
            <v>9.0909090909090912E-2</v>
          </cell>
        </row>
        <row r="32">
          <cell r="F32">
            <v>0.26666666666666666</v>
          </cell>
        </row>
        <row r="33">
          <cell r="F33">
            <v>0.18387096774193548</v>
          </cell>
        </row>
        <row r="36">
          <cell r="F36">
            <v>0.58823529411764708</v>
          </cell>
        </row>
        <row r="37">
          <cell r="F37">
            <v>0.29032258064516131</v>
          </cell>
        </row>
        <row r="38">
          <cell r="F38">
            <v>0.10714285714285714</v>
          </cell>
        </row>
        <row r="39">
          <cell r="F39">
            <v>0</v>
          </cell>
        </row>
        <row r="40">
          <cell r="F40">
            <v>2.7777777777777776E-2</v>
          </cell>
        </row>
        <row r="41">
          <cell r="F41">
            <v>0.16279069767441862</v>
          </cell>
        </row>
        <row r="42">
          <cell r="F42">
            <v>0.14285714285714285</v>
          </cell>
        </row>
        <row r="43">
          <cell r="F43">
            <v>0.11764705882352941</v>
          </cell>
        </row>
        <row r="44">
          <cell r="F44">
            <v>0.13043478260869565</v>
          </cell>
        </row>
        <row r="45">
          <cell r="F45">
            <v>0</v>
          </cell>
        </row>
        <row r="46">
          <cell r="F46">
            <v>0.14191419141914191</v>
          </cell>
        </row>
        <row r="49">
          <cell r="F49">
            <v>0.84210526315789469</v>
          </cell>
        </row>
        <row r="50">
          <cell r="F50">
            <v>0.8529411764705882</v>
          </cell>
        </row>
        <row r="51">
          <cell r="F51">
            <v>0.53846153846153844</v>
          </cell>
        </row>
        <row r="52">
          <cell r="F52">
            <v>0.32</v>
          </cell>
        </row>
        <row r="53">
          <cell r="F53">
            <v>8.3333333333333329E-2</v>
          </cell>
        </row>
        <row r="54">
          <cell r="F54">
            <v>0.65789473684210531</v>
          </cell>
        </row>
        <row r="55">
          <cell r="F55">
            <v>0.30952380952380953</v>
          </cell>
        </row>
        <row r="56">
          <cell r="F56">
            <v>0.42424242424242425</v>
          </cell>
        </row>
        <row r="57">
          <cell r="F57">
            <v>0.05</v>
          </cell>
        </row>
        <row r="58">
          <cell r="F58">
            <v>0.11538461538461539</v>
          </cell>
        </row>
        <row r="59">
          <cell r="F59">
            <v>0.42168674698795183</v>
          </cell>
        </row>
        <row r="62">
          <cell r="F62">
            <v>0.94444444444444442</v>
          </cell>
        </row>
        <row r="63">
          <cell r="F63">
            <v>0.72727272727272729</v>
          </cell>
        </row>
        <row r="64">
          <cell r="F64">
            <v>0.05</v>
          </cell>
        </row>
        <row r="65">
          <cell r="F65">
            <v>0</v>
          </cell>
        </row>
        <row r="66">
          <cell r="F66">
            <v>6.4516129032258063E-2</v>
          </cell>
        </row>
        <row r="67">
          <cell r="F67">
            <v>0.15</v>
          </cell>
        </row>
        <row r="68">
          <cell r="F68">
            <v>0.12903225806451613</v>
          </cell>
        </row>
        <row r="69">
          <cell r="F69">
            <v>0.203125</v>
          </cell>
        </row>
        <row r="70">
          <cell r="F70">
            <v>7.407407407407407E-2</v>
          </cell>
        </row>
        <row r="71">
          <cell r="F71">
            <v>6.0606060606060608E-2</v>
          </cell>
        </row>
        <row r="72">
          <cell r="F72">
            <v>0.22397476340694006</v>
          </cell>
        </row>
        <row r="75">
          <cell r="F75">
            <v>0.7</v>
          </cell>
        </row>
        <row r="76">
          <cell r="F76">
            <v>0.5</v>
          </cell>
        </row>
        <row r="77">
          <cell r="F77">
            <v>7.6923076923076927E-2</v>
          </cell>
        </row>
        <row r="78">
          <cell r="F78">
            <v>0.15625</v>
          </cell>
        </row>
        <row r="79">
          <cell r="F79">
            <v>0.1</v>
          </cell>
        </row>
        <row r="80">
          <cell r="F80">
            <v>0.34042553191489361</v>
          </cell>
        </row>
        <row r="81">
          <cell r="F81">
            <v>0.12820512820512819</v>
          </cell>
        </row>
        <row r="82">
          <cell r="F82">
            <v>0.18571428571428572</v>
          </cell>
        </row>
        <row r="83">
          <cell r="F83">
            <v>0</v>
          </cell>
        </row>
        <row r="84">
          <cell r="F84">
            <v>2.6315789473684209E-2</v>
          </cell>
        </row>
        <row r="85">
          <cell r="F85">
            <v>0.20498614958448755</v>
          </cell>
        </row>
        <row r="88">
          <cell r="F88">
            <v>0.58823529411764708</v>
          </cell>
        </row>
        <row r="89">
          <cell r="F89">
            <v>0.5</v>
          </cell>
        </row>
        <row r="90">
          <cell r="F90">
            <v>0.20833333333333334</v>
          </cell>
        </row>
        <row r="91">
          <cell r="F91">
            <v>0.04</v>
          </cell>
        </row>
        <row r="92">
          <cell r="F92">
            <v>0.10344827586206896</v>
          </cell>
        </row>
        <row r="93">
          <cell r="F93">
            <v>0.40425531914893614</v>
          </cell>
        </row>
        <row r="94">
          <cell r="F94">
            <v>4.7619047619047616E-2</v>
          </cell>
        </row>
        <row r="95">
          <cell r="F95">
            <v>0.44285714285714284</v>
          </cell>
        </row>
        <row r="96">
          <cell r="F96">
            <v>0.13333333333333333</v>
          </cell>
        </row>
        <row r="97">
          <cell r="F97">
            <v>0.14285714285714285</v>
          </cell>
        </row>
        <row r="98">
          <cell r="F98">
            <v>0.27218934911242604</v>
          </cell>
        </row>
        <row r="101">
          <cell r="F101">
            <v>0.8125</v>
          </cell>
        </row>
        <row r="102">
          <cell r="F102">
            <v>0.82758620689655171</v>
          </cell>
        </row>
        <row r="103">
          <cell r="F103">
            <v>0.58333333333333337</v>
          </cell>
        </row>
        <row r="104">
          <cell r="F104">
            <v>0.19230769230769232</v>
          </cell>
        </row>
        <row r="105">
          <cell r="F105">
            <v>0.10256410256410256</v>
          </cell>
        </row>
        <row r="106">
          <cell r="F106">
            <v>0.5</v>
          </cell>
        </row>
        <row r="107">
          <cell r="F107">
            <v>0.2413793103448276</v>
          </cell>
        </row>
        <row r="108">
          <cell r="F108">
            <v>0.5</v>
          </cell>
        </row>
        <row r="109">
          <cell r="F109">
            <v>0.51851851851851849</v>
          </cell>
        </row>
        <row r="110">
          <cell r="F110">
            <v>0.65517241379310343</v>
          </cell>
        </row>
        <row r="111">
          <cell r="F111">
            <v>0.45430107526881719</v>
          </cell>
        </row>
        <row r="114">
          <cell r="F114">
            <v>0.78260869565217395</v>
          </cell>
        </row>
        <row r="115">
          <cell r="F115">
            <v>0.75</v>
          </cell>
        </row>
        <row r="116">
          <cell r="F116">
            <v>0.6</v>
          </cell>
        </row>
        <row r="117">
          <cell r="F117">
            <v>0.10714285714285714</v>
          </cell>
        </row>
        <row r="118">
          <cell r="F118">
            <v>0.6097560975609756</v>
          </cell>
        </row>
        <row r="119">
          <cell r="F119">
            <v>0.72881355932203384</v>
          </cell>
        </row>
        <row r="120">
          <cell r="F120">
            <v>0.67307692307692313</v>
          </cell>
        </row>
        <row r="121">
          <cell r="F121">
            <v>0.53424657534246578</v>
          </cell>
        </row>
        <row r="122">
          <cell r="F122">
            <v>0.30434782608695654</v>
          </cell>
        </row>
        <row r="123">
          <cell r="F123">
            <v>0.16666666666666666</v>
          </cell>
        </row>
        <row r="124">
          <cell r="F124">
            <v>0.55235602094240843</v>
          </cell>
        </row>
      </sheetData>
      <sheetData sheetId="9">
        <row r="16">
          <cell r="F16">
            <v>0.44444444444444442</v>
          </cell>
        </row>
        <row r="17">
          <cell r="F17">
            <v>0.4642857142857143</v>
          </cell>
        </row>
        <row r="18">
          <cell r="F18">
            <v>0.42857142857142855</v>
          </cell>
        </row>
        <row r="19">
          <cell r="F19">
            <v>0.51515151515151514</v>
          </cell>
        </row>
        <row r="20">
          <cell r="F20">
            <v>0.13513513513513514</v>
          </cell>
        </row>
        <row r="21">
          <cell r="F21">
            <v>0.38562091503267976</v>
          </cell>
        </row>
        <row r="24">
          <cell r="F24">
            <v>0.92307692307692313</v>
          </cell>
        </row>
        <row r="25">
          <cell r="F25">
            <v>0.58620689655172409</v>
          </cell>
        </row>
        <row r="26">
          <cell r="F26">
            <v>0.5</v>
          </cell>
        </row>
        <row r="27">
          <cell r="F27">
            <v>2.3809523809523808E-2</v>
          </cell>
        </row>
        <row r="28">
          <cell r="F28">
            <v>6.4516129032258063E-2</v>
          </cell>
        </row>
        <row r="29">
          <cell r="F29">
            <v>0.37179487179487181</v>
          </cell>
        </row>
        <row r="32">
          <cell r="F32">
            <v>0.32258064516129031</v>
          </cell>
        </row>
        <row r="33">
          <cell r="F33">
            <v>0.62068965517241381</v>
          </cell>
        </row>
        <row r="34">
          <cell r="F34">
            <v>0.36</v>
          </cell>
        </row>
        <row r="35">
          <cell r="F35">
            <v>0.13333333333333333</v>
          </cell>
        </row>
        <row r="36">
          <cell r="F36">
            <v>0</v>
          </cell>
        </row>
        <row r="37">
          <cell r="F37">
            <v>0.28671328671328672</v>
          </cell>
        </row>
        <row r="40">
          <cell r="F40">
            <v>0.23333333333333334</v>
          </cell>
        </row>
        <row r="41">
          <cell r="F41">
            <v>0.29166666666666669</v>
          </cell>
        </row>
        <row r="42">
          <cell r="F42">
            <v>8.6956521739130432E-2</v>
          </cell>
        </row>
        <row r="43">
          <cell r="F43">
            <v>4.7619047619047616E-2</v>
          </cell>
        </row>
        <row r="44">
          <cell r="F44">
            <v>0</v>
          </cell>
        </row>
        <row r="45">
          <cell r="F45">
            <v>0.14049586776859505</v>
          </cell>
        </row>
        <row r="49">
          <cell r="F49">
            <v>0.73529411764705888</v>
          </cell>
        </row>
        <row r="50">
          <cell r="F50">
            <v>0.3125</v>
          </cell>
        </row>
        <row r="51">
          <cell r="F51">
            <v>0</v>
          </cell>
        </row>
        <row r="52">
          <cell r="F52">
            <v>4.3478260869565216E-2</v>
          </cell>
        </row>
        <row r="53">
          <cell r="F53">
            <v>0.7857142857142857</v>
          </cell>
        </row>
        <row r="54">
          <cell r="F54">
            <v>0.8666666666666667</v>
          </cell>
        </row>
        <row r="55">
          <cell r="F55">
            <v>0.57246376811594202</v>
          </cell>
        </row>
        <row r="58">
          <cell r="F58">
            <v>0.90909090909090906</v>
          </cell>
        </row>
        <row r="59">
          <cell r="F59">
            <v>0.94117647058823528</v>
          </cell>
        </row>
        <row r="60">
          <cell r="F60">
            <v>0.8571428571428571</v>
          </cell>
        </row>
        <row r="61">
          <cell r="F61">
            <v>0.36363636363636365</v>
          </cell>
        </row>
        <row r="62">
          <cell r="F62">
            <v>0.12</v>
          </cell>
        </row>
        <row r="63">
          <cell r="F63">
            <v>5.8823529411764705E-2</v>
          </cell>
        </row>
        <row r="64">
          <cell r="F64">
            <v>0.47101449275362317</v>
          </cell>
        </row>
        <row r="67">
          <cell r="F67">
            <v>0.5757575757575758</v>
          </cell>
        </row>
        <row r="68">
          <cell r="F68">
            <v>0.70588235294117652</v>
          </cell>
        </row>
        <row r="69">
          <cell r="F69">
            <v>0.2857142857142857</v>
          </cell>
        </row>
        <row r="70">
          <cell r="F70">
            <v>0.2608695652173913</v>
          </cell>
        </row>
        <row r="71">
          <cell r="F71">
            <v>3.8461538461538464E-2</v>
          </cell>
        </row>
        <row r="72">
          <cell r="F72">
            <v>0</v>
          </cell>
        </row>
        <row r="73">
          <cell r="F73">
            <v>0.28368794326241137</v>
          </cell>
        </row>
      </sheetData>
      <sheetData sheetId="10">
        <row r="27">
          <cell r="F27">
            <v>7.8947368421052627E-2</v>
          </cell>
        </row>
        <row r="28">
          <cell r="F28">
            <v>0.18055555555555555</v>
          </cell>
        </row>
        <row r="29">
          <cell r="F29">
            <v>0.5714285714285714</v>
          </cell>
        </row>
        <row r="30">
          <cell r="F30">
            <v>0.50877192982456143</v>
          </cell>
        </row>
        <row r="31">
          <cell r="F31">
            <v>0.52631578947368418</v>
          </cell>
        </row>
        <row r="32">
          <cell r="F32">
            <v>2.7027027027027029E-2</v>
          </cell>
        </row>
        <row r="33">
          <cell r="F33">
            <v>0.17647058823529413</v>
          </cell>
        </row>
        <row r="34">
          <cell r="F34">
            <v>0.31045751633986929</v>
          </cell>
        </row>
        <row r="37">
          <cell r="F37">
            <v>7.8947368421052627E-2</v>
          </cell>
        </row>
        <row r="38">
          <cell r="F38">
            <v>0.40740740740740738</v>
          </cell>
        </row>
        <row r="39">
          <cell r="F39">
            <v>0.26470588235294118</v>
          </cell>
        </row>
        <row r="40">
          <cell r="F40">
            <v>0.42857142857142855</v>
          </cell>
        </row>
        <row r="41">
          <cell r="F41">
            <v>0.20370370370370369</v>
          </cell>
        </row>
        <row r="42">
          <cell r="F42">
            <v>2.3809523809523808E-2</v>
          </cell>
        </row>
        <row r="43">
          <cell r="F43">
            <v>0.26315789473684209</v>
          </cell>
        </row>
        <row r="44">
          <cell r="F44">
            <v>0.26888217522658608</v>
          </cell>
        </row>
        <row r="47">
          <cell r="F47">
            <v>0.28947368421052633</v>
          </cell>
        </row>
        <row r="48">
          <cell r="F48">
            <v>0.23076923076923078</v>
          </cell>
        </row>
        <row r="49">
          <cell r="F49">
            <v>0.29729729729729731</v>
          </cell>
        </row>
        <row r="50">
          <cell r="F50">
            <v>0.42857142857142855</v>
          </cell>
        </row>
        <row r="51">
          <cell r="F51">
            <v>0.15625</v>
          </cell>
        </row>
        <row r="52">
          <cell r="F52">
            <v>0.19047619047619047</v>
          </cell>
        </row>
        <row r="53">
          <cell r="F53">
            <v>0.15789473684210525</v>
          </cell>
        </row>
        <row r="54">
          <cell r="F54">
            <v>0.25706214689265539</v>
          </cell>
        </row>
        <row r="57">
          <cell r="F57">
            <v>4.5454545454545456E-2</v>
          </cell>
        </row>
        <row r="58">
          <cell r="F58">
            <v>0.35106382978723405</v>
          </cell>
        </row>
        <row r="59">
          <cell r="F59">
            <v>0.44444444444444442</v>
          </cell>
        </row>
        <row r="60">
          <cell r="F60">
            <v>0.63492063492063489</v>
          </cell>
        </row>
        <row r="61">
          <cell r="F61">
            <v>0.26315789473684209</v>
          </cell>
        </row>
        <row r="62">
          <cell r="F62">
            <v>7.8947368421052627E-2</v>
          </cell>
        </row>
        <row r="63">
          <cell r="F63">
            <v>0.1</v>
          </cell>
        </row>
        <row r="64">
          <cell r="F64">
            <v>0.31534090909090912</v>
          </cell>
        </row>
        <row r="68">
          <cell r="F68">
            <v>8.1632653061224483E-2</v>
          </cell>
        </row>
        <row r="69">
          <cell r="F69">
            <v>0.11764705882352941</v>
          </cell>
        </row>
        <row r="70">
          <cell r="F70">
            <v>0.27083333333333331</v>
          </cell>
        </row>
        <row r="71">
          <cell r="F71">
            <v>0.11904761904761904</v>
          </cell>
        </row>
        <row r="72">
          <cell r="F72">
            <v>0.31818181818181818</v>
          </cell>
        </row>
        <row r="73">
          <cell r="F73">
            <v>0.23076923076923078</v>
          </cell>
        </row>
        <row r="74">
          <cell r="F74">
            <v>6.25E-2</v>
          </cell>
        </row>
        <row r="75">
          <cell r="F75">
            <v>0.22727272727272727</v>
          </cell>
        </row>
        <row r="76">
          <cell r="F76">
            <v>0.18253968253968253</v>
          </cell>
        </row>
        <row r="79">
          <cell r="F79">
            <v>0.11666666666666667</v>
          </cell>
        </row>
        <row r="80">
          <cell r="F80">
            <v>0.32653061224489793</v>
          </cell>
        </row>
        <row r="81">
          <cell r="F81">
            <v>0.64583333333333337</v>
          </cell>
        </row>
        <row r="82">
          <cell r="F82">
            <v>0.26315789473684209</v>
          </cell>
        </row>
        <row r="83">
          <cell r="F83">
            <v>0.67692307692307696</v>
          </cell>
        </row>
        <row r="84">
          <cell r="F84">
            <v>0.33333333333333331</v>
          </cell>
        </row>
        <row r="85">
          <cell r="F85">
            <v>0.1875</v>
          </cell>
        </row>
        <row r="86">
          <cell r="F86">
            <v>0.13636363636363635</v>
          </cell>
        </row>
        <row r="87">
          <cell r="F87">
            <v>0.35917312661498707</v>
          </cell>
        </row>
        <row r="90">
          <cell r="F90">
            <v>3.3898305084745763E-2</v>
          </cell>
        </row>
        <row r="91">
          <cell r="F91">
            <v>9.0909090909090912E-2</v>
          </cell>
        </row>
        <row r="92">
          <cell r="F92">
            <v>0.5</v>
          </cell>
        </row>
        <row r="93">
          <cell r="F93">
            <v>7.6923076923076927E-2</v>
          </cell>
        </row>
        <row r="94">
          <cell r="F94">
            <v>0.53521126760563376</v>
          </cell>
        </row>
        <row r="95">
          <cell r="F95">
            <v>0.18518518518518517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0.20812182741116753</v>
          </cell>
        </row>
      </sheetData>
      <sheetData sheetId="11">
        <row r="8">
          <cell r="F8">
            <v>0.16326530612244897</v>
          </cell>
        </row>
        <row r="9">
          <cell r="F9">
            <v>7.1428571428571425E-2</v>
          </cell>
        </row>
        <row r="10">
          <cell r="F10">
            <v>0.27027027027027029</v>
          </cell>
        </row>
        <row r="12">
          <cell r="F12">
            <v>0.30232558139534882</v>
          </cell>
        </row>
        <row r="13">
          <cell r="F13">
            <v>0.14285714285714285</v>
          </cell>
        </row>
        <row r="14">
          <cell r="F14">
            <v>7.8431372549019607E-2</v>
          </cell>
        </row>
        <row r="15">
          <cell r="F15">
            <v>1.6129032258064516E-2</v>
          </cell>
        </row>
        <row r="18">
          <cell r="F18">
            <v>0</v>
          </cell>
        </row>
        <row r="22">
          <cell r="F22">
            <v>0.2608695652173913</v>
          </cell>
        </row>
        <row r="23">
          <cell r="F23">
            <v>0.17741935483870969</v>
          </cell>
        </row>
        <row r="24">
          <cell r="F24">
            <v>0.25806451612903225</v>
          </cell>
        </row>
        <row r="27">
          <cell r="F27">
            <v>0.23529411764705882</v>
          </cell>
        </row>
        <row r="28">
          <cell r="F28">
            <v>0.11538461538461539</v>
          </cell>
        </row>
        <row r="29">
          <cell r="F29">
            <v>2.5974025974025976E-2</v>
          </cell>
        </row>
        <row r="30">
          <cell r="F30">
            <v>6.6666666666666666E-2</v>
          </cell>
        </row>
        <row r="31">
          <cell r="F31">
            <v>0.14814814814814814</v>
          </cell>
        </row>
        <row r="32">
          <cell r="F32">
            <v>0</v>
          </cell>
        </row>
        <row r="36">
          <cell r="F36">
            <v>0.8</v>
          </cell>
        </row>
        <row r="37">
          <cell r="F37">
            <v>0.76811594202898548</v>
          </cell>
        </row>
        <row r="38">
          <cell r="F38">
            <v>0.64864864864864868</v>
          </cell>
        </row>
        <row r="39">
          <cell r="F39">
            <v>0.72</v>
          </cell>
        </row>
        <row r="40">
          <cell r="F40">
            <v>0.49122807017543857</v>
          </cell>
        </row>
        <row r="41">
          <cell r="F41">
            <v>0.54545454545454541</v>
          </cell>
        </row>
        <row r="42">
          <cell r="F42">
            <v>0.45614035087719296</v>
          </cell>
        </row>
        <row r="43">
          <cell r="F43">
            <v>0.22077922077922077</v>
          </cell>
        </row>
        <row r="44">
          <cell r="F44">
            <v>0.1</v>
          </cell>
        </row>
        <row r="45">
          <cell r="F45">
            <v>0</v>
          </cell>
        </row>
        <row r="47">
          <cell r="F47">
            <v>0.49460043196544279</v>
          </cell>
        </row>
        <row r="50">
          <cell r="F50">
            <v>0.77083333333333337</v>
          </cell>
        </row>
        <row r="51">
          <cell r="F51">
            <v>0.67741935483870963</v>
          </cell>
        </row>
        <row r="52">
          <cell r="F52">
            <v>0.77777777777777779</v>
          </cell>
        </row>
        <row r="53">
          <cell r="F53">
            <v>0.81818181818181823</v>
          </cell>
        </row>
        <row r="54">
          <cell r="F54">
            <v>0.60416666666666663</v>
          </cell>
        </row>
        <row r="55">
          <cell r="F55">
            <v>0.52941176470588236</v>
          </cell>
        </row>
        <row r="56">
          <cell r="F56">
            <v>0.36363636363636365</v>
          </cell>
        </row>
        <row r="57">
          <cell r="F57">
            <v>0.47945205479452052</v>
          </cell>
        </row>
        <row r="58">
          <cell r="F58">
            <v>0</v>
          </cell>
        </row>
        <row r="59">
          <cell r="F59">
            <v>8.3333333333333329E-2</v>
          </cell>
        </row>
        <row r="60">
          <cell r="F60">
            <v>0</v>
          </cell>
        </row>
        <row r="61">
          <cell r="F61">
            <v>0.5229166666666667</v>
          </cell>
        </row>
        <row r="64">
          <cell r="F64">
            <v>0.61224489795918369</v>
          </cell>
        </row>
        <row r="65">
          <cell r="F65">
            <v>0.42028985507246375</v>
          </cell>
        </row>
        <row r="66">
          <cell r="F66">
            <v>0.79411764705882348</v>
          </cell>
        </row>
        <row r="67">
          <cell r="F67">
            <v>0.65853658536585369</v>
          </cell>
        </row>
        <row r="68">
          <cell r="F68">
            <v>0.5714285714285714</v>
          </cell>
        </row>
        <row r="69">
          <cell r="F69">
            <v>0.47916666666666669</v>
          </cell>
        </row>
        <row r="70">
          <cell r="F70">
            <v>0.29310344827586204</v>
          </cell>
        </row>
        <row r="71">
          <cell r="F71">
            <v>0.16</v>
          </cell>
        </row>
        <row r="72">
          <cell r="F72">
            <v>0</v>
          </cell>
        </row>
        <row r="73">
          <cell r="F73">
            <v>0</v>
          </cell>
        </row>
        <row r="75">
          <cell r="F75">
            <v>0.40368852459016391</v>
          </cell>
        </row>
        <row r="78">
          <cell r="F78">
            <v>0.27272727272727271</v>
          </cell>
        </row>
        <row r="79">
          <cell r="F79">
            <v>0.1</v>
          </cell>
        </row>
        <row r="80">
          <cell r="F80">
            <v>5.5555555555555552E-2</v>
          </cell>
        </row>
        <row r="81">
          <cell r="F81">
            <v>0.24390243902439024</v>
          </cell>
        </row>
        <row r="82">
          <cell r="F82">
            <v>0.19230769230769232</v>
          </cell>
        </row>
        <row r="83">
          <cell r="F83">
            <v>0.08</v>
          </cell>
        </row>
        <row r="84">
          <cell r="F84">
            <v>9.375E-2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9">
          <cell r="F89">
            <v>0.1028225806451613</v>
          </cell>
        </row>
        <row r="120">
          <cell r="F120">
            <v>0.39215686274509803</v>
          </cell>
        </row>
        <row r="121">
          <cell r="F121">
            <v>0.81944444444444442</v>
          </cell>
        </row>
        <row r="122">
          <cell r="F122">
            <v>0.8</v>
          </cell>
        </row>
        <row r="123">
          <cell r="F123">
            <v>0.71621621621621623</v>
          </cell>
        </row>
        <row r="124">
          <cell r="F124">
            <v>0.78181818181818186</v>
          </cell>
        </row>
        <row r="125">
          <cell r="F125">
            <v>0.70833333333333337</v>
          </cell>
        </row>
        <row r="126">
          <cell r="F126">
            <v>0.73529411764705888</v>
          </cell>
        </row>
        <row r="127">
          <cell r="F127">
            <v>0.77647058823529413</v>
          </cell>
        </row>
        <row r="128">
          <cell r="F128">
            <v>0.64864864864864868</v>
          </cell>
        </row>
        <row r="129">
          <cell r="F129">
            <v>0.32432432432432434</v>
          </cell>
        </row>
        <row r="131">
          <cell r="F131">
            <v>0.69120287253141832</v>
          </cell>
        </row>
      </sheetData>
      <sheetData sheetId="12">
        <row r="41">
          <cell r="F41">
            <v>1.4705882352941176E-2</v>
          </cell>
        </row>
        <row r="42">
          <cell r="F42">
            <v>8.6956521739130432E-2</v>
          </cell>
        </row>
        <row r="43">
          <cell r="F43">
            <v>0.20370370370370369</v>
          </cell>
        </row>
        <row r="44">
          <cell r="F44">
            <v>0.375</v>
          </cell>
        </row>
        <row r="45">
          <cell r="F45">
            <v>0.55555555555555558</v>
          </cell>
        </row>
        <row r="46">
          <cell r="F46">
            <v>0.77777777777777779</v>
          </cell>
        </row>
        <row r="47">
          <cell r="F47">
            <v>0.19672131147540983</v>
          </cell>
        </row>
        <row r="48">
          <cell r="F48">
            <v>0.15254237288135594</v>
          </cell>
        </row>
        <row r="49">
          <cell r="F49">
            <v>0.48484848484848486</v>
          </cell>
        </row>
        <row r="50">
          <cell r="F50">
            <v>0.22580645161290322</v>
          </cell>
        </row>
        <row r="51">
          <cell r="F51">
            <v>0.5714285714285714</v>
          </cell>
        </row>
        <row r="52">
          <cell r="F52">
            <v>3.8461538461538464E-2</v>
          </cell>
        </row>
        <row r="53">
          <cell r="F53">
            <v>0.24379232505643342</v>
          </cell>
        </row>
        <row r="56">
          <cell r="F56">
            <v>1.2987012987012988E-2</v>
          </cell>
        </row>
        <row r="57">
          <cell r="F57">
            <v>9.0909090909090912E-2</v>
          </cell>
        </row>
        <row r="58">
          <cell r="F58">
            <v>0.22033898305084745</v>
          </cell>
        </row>
        <row r="59">
          <cell r="F59">
            <v>0.23076923076923078</v>
          </cell>
        </row>
        <row r="60">
          <cell r="F60">
            <v>0.15789473684210525</v>
          </cell>
        </row>
        <row r="61">
          <cell r="F61">
            <v>0.52631578947368418</v>
          </cell>
        </row>
        <row r="62">
          <cell r="F62">
            <v>0.12727272727272726</v>
          </cell>
        </row>
        <row r="63">
          <cell r="F63">
            <v>0.15517241379310345</v>
          </cell>
        </row>
        <row r="64">
          <cell r="F64">
            <v>0.51282051282051277</v>
          </cell>
        </row>
        <row r="65">
          <cell r="F65">
            <v>0.76923076923076927</v>
          </cell>
        </row>
        <row r="66">
          <cell r="F66">
            <v>0.89655172413793105</v>
          </cell>
        </row>
        <row r="67">
          <cell r="F67">
            <v>0.16666666666666666</v>
          </cell>
        </row>
        <row r="68">
          <cell r="F68">
            <v>0.2671081677704194</v>
          </cell>
        </row>
        <row r="71">
          <cell r="F71">
            <v>3.0769230769230771E-2</v>
          </cell>
        </row>
        <row r="72">
          <cell r="F72">
            <v>0.10526315789473684</v>
          </cell>
        </row>
        <row r="73">
          <cell r="F73">
            <v>0.20754716981132076</v>
          </cell>
        </row>
        <row r="74">
          <cell r="F74">
            <v>0.25925925925925924</v>
          </cell>
        </row>
        <row r="75">
          <cell r="F75">
            <v>0.38095238095238093</v>
          </cell>
        </row>
        <row r="76">
          <cell r="F76">
            <v>0.77777777777777779</v>
          </cell>
        </row>
        <row r="77">
          <cell r="F77">
            <v>8.9285714285714288E-2</v>
          </cell>
        </row>
        <row r="78">
          <cell r="F78">
            <v>0.14035087719298245</v>
          </cell>
        </row>
        <row r="79">
          <cell r="F79">
            <v>0.5641025641025641</v>
          </cell>
        </row>
        <row r="80">
          <cell r="F80">
            <v>0.46666666666666667</v>
          </cell>
        </row>
        <row r="81">
          <cell r="F81">
            <v>0.60606060606060608</v>
          </cell>
        </row>
        <row r="82">
          <cell r="F82">
            <v>0.11538461538461539</v>
          </cell>
        </row>
        <row r="83">
          <cell r="F83">
            <v>0.26126126126126126</v>
          </cell>
        </row>
        <row r="86">
          <cell r="F86">
            <v>3.7499999999999999E-2</v>
          </cell>
        </row>
        <row r="87">
          <cell r="F87">
            <v>0.38095238095238093</v>
          </cell>
        </row>
        <row r="88">
          <cell r="F88">
            <v>0.2711864406779661</v>
          </cell>
        </row>
        <row r="89">
          <cell r="F89">
            <v>0.6</v>
          </cell>
        </row>
        <row r="90">
          <cell r="F90">
            <v>0.35</v>
          </cell>
        </row>
        <row r="91">
          <cell r="F91">
            <v>0.61111111111111116</v>
          </cell>
        </row>
        <row r="92">
          <cell r="F92">
            <v>0.32</v>
          </cell>
        </row>
        <row r="93">
          <cell r="F93">
            <v>0.38709677419354838</v>
          </cell>
        </row>
        <row r="94">
          <cell r="F94">
            <v>0.72222222222222221</v>
          </cell>
        </row>
        <row r="95">
          <cell r="F95">
            <v>0.52173913043478259</v>
          </cell>
        </row>
        <row r="96">
          <cell r="F96">
            <v>0.625</v>
          </cell>
        </row>
        <row r="97">
          <cell r="F97">
            <v>0.29166666666666669</v>
          </cell>
        </row>
        <row r="98">
          <cell r="F98">
            <v>0.36666666666666664</v>
          </cell>
        </row>
        <row r="101">
          <cell r="F101">
            <v>3.7499999999999999E-2</v>
          </cell>
        </row>
        <row r="102">
          <cell r="F102">
            <v>0.2</v>
          </cell>
        </row>
        <row r="103">
          <cell r="F103">
            <v>0.21052631578947367</v>
          </cell>
        </row>
        <row r="104">
          <cell r="F104">
            <v>0.52</v>
          </cell>
        </row>
        <row r="105">
          <cell r="F105">
            <v>0.26315789473684209</v>
          </cell>
        </row>
        <row r="106">
          <cell r="F106">
            <v>0.72222222222222221</v>
          </cell>
        </row>
        <row r="107">
          <cell r="F107">
            <v>0.21276595744680851</v>
          </cell>
        </row>
        <row r="108">
          <cell r="F108">
            <v>0.48275862068965519</v>
          </cell>
        </row>
        <row r="109">
          <cell r="F109">
            <v>0.42857142857142855</v>
          </cell>
        </row>
        <row r="110">
          <cell r="F110">
            <v>0.375</v>
          </cell>
        </row>
        <row r="111">
          <cell r="F111">
            <v>0.53125</v>
          </cell>
        </row>
        <row r="112">
          <cell r="F112">
            <v>0.40909090909090912</v>
          </cell>
        </row>
        <row r="113">
          <cell r="F113">
            <v>0.31578947368421051</v>
          </cell>
        </row>
        <row r="116">
          <cell r="F116">
            <v>3.4482758620689655E-2</v>
          </cell>
        </row>
        <row r="117">
          <cell r="F117">
            <v>2.7777777777777776E-2</v>
          </cell>
        </row>
        <row r="118">
          <cell r="F118">
            <v>0.19047619047619047</v>
          </cell>
        </row>
        <row r="119">
          <cell r="F119">
            <v>0.21276595744680851</v>
          </cell>
        </row>
        <row r="120">
          <cell r="F120">
            <v>0.39130434782608697</v>
          </cell>
        </row>
        <row r="121">
          <cell r="F121">
            <v>0.47619047619047616</v>
          </cell>
        </row>
        <row r="122">
          <cell r="F122">
            <v>0.57894736842105265</v>
          </cell>
        </row>
        <row r="123">
          <cell r="F123">
            <v>0.43333333333333335</v>
          </cell>
        </row>
        <row r="124">
          <cell r="F124">
            <v>0.32203389830508472</v>
          </cell>
        </row>
        <row r="125">
          <cell r="F125">
            <v>0.59459459459459463</v>
          </cell>
        </row>
        <row r="126">
          <cell r="F126">
            <v>0.68</v>
          </cell>
        </row>
        <row r="127">
          <cell r="F127">
            <v>0.73076923076923073</v>
          </cell>
        </row>
        <row r="128">
          <cell r="F128">
            <v>0.37037037037037035</v>
          </cell>
        </row>
        <row r="129">
          <cell r="F129">
            <v>0.39035087719298245</v>
          </cell>
        </row>
        <row r="132">
          <cell r="F132">
            <v>5.5555555555555552E-2</v>
          </cell>
        </row>
        <row r="133">
          <cell r="F133">
            <v>0.10526315789473684</v>
          </cell>
        </row>
        <row r="134">
          <cell r="F134">
            <v>0.61111111111111116</v>
          </cell>
        </row>
        <row r="135">
          <cell r="F135">
            <v>0.38297872340425532</v>
          </cell>
        </row>
        <row r="136">
          <cell r="F136">
            <v>0.47826086956521741</v>
          </cell>
        </row>
        <row r="137">
          <cell r="F137">
            <v>0.89473684210526316</v>
          </cell>
        </row>
        <row r="138">
          <cell r="F138">
            <v>0.76470588235294112</v>
          </cell>
        </row>
        <row r="139">
          <cell r="F139">
            <v>0.84615384615384615</v>
          </cell>
        </row>
        <row r="140">
          <cell r="F140">
            <v>0.64150943396226412</v>
          </cell>
        </row>
        <row r="141">
          <cell r="F141">
            <v>0.76470588235294112</v>
          </cell>
        </row>
        <row r="142">
          <cell r="F142">
            <v>0.78260869565217395</v>
          </cell>
        </row>
        <row r="143">
          <cell r="F143">
            <v>0.82222222222222219</v>
          </cell>
        </row>
        <row r="144">
          <cell r="F144">
            <v>0.4</v>
          </cell>
        </row>
        <row r="145">
          <cell r="F145">
            <v>0.56781609195402294</v>
          </cell>
        </row>
        <row r="148">
          <cell r="F148">
            <v>0.2857142857142857</v>
          </cell>
        </row>
        <row r="149">
          <cell r="F149">
            <v>9.0909090909090912E-2</v>
          </cell>
        </row>
        <row r="150">
          <cell r="F150">
            <v>9.0909090909090912E-2</v>
          </cell>
        </row>
        <row r="151">
          <cell r="F151">
            <v>0.29411764705882354</v>
          </cell>
        </row>
        <row r="152">
          <cell r="F152">
            <v>0.59090909090909094</v>
          </cell>
        </row>
        <row r="153">
          <cell r="F153">
            <v>0.76190476190476186</v>
          </cell>
        </row>
        <row r="154">
          <cell r="F154">
            <v>0.57894736842105265</v>
          </cell>
        </row>
        <row r="155">
          <cell r="F155">
            <v>0.36065573770491804</v>
          </cell>
        </row>
        <row r="156">
          <cell r="F156">
            <v>0.6428571428571429</v>
          </cell>
        </row>
        <row r="157">
          <cell r="F157">
            <v>0.6216216216216216</v>
          </cell>
        </row>
        <row r="158">
          <cell r="F158">
            <v>0.53846153846153844</v>
          </cell>
        </row>
        <row r="159">
          <cell r="F159">
            <v>0.72</v>
          </cell>
        </row>
        <row r="160">
          <cell r="F160">
            <v>0.41379310344827586</v>
          </cell>
        </row>
        <row r="161">
          <cell r="F161">
            <v>0.46103896103896103</v>
          </cell>
        </row>
      </sheetData>
      <sheetData sheetId="13">
        <row r="8">
          <cell r="F8">
            <v>3.8461538461538464E-2</v>
          </cell>
        </row>
        <row r="9">
          <cell r="F9">
            <v>0.2857142857142857</v>
          </cell>
        </row>
        <row r="10">
          <cell r="F10">
            <v>0.25641025641025639</v>
          </cell>
        </row>
        <row r="11">
          <cell r="F11">
            <v>0.14285714285714285</v>
          </cell>
        </row>
        <row r="12">
          <cell r="F12">
            <v>0.58064516129032262</v>
          </cell>
        </row>
        <row r="13">
          <cell r="F13">
            <v>0.75</v>
          </cell>
        </row>
        <row r="14">
          <cell r="F14">
            <v>0.88888888888888884</v>
          </cell>
        </row>
        <row r="15">
          <cell r="F15">
            <v>0.5</v>
          </cell>
        </row>
        <row r="16">
          <cell r="F16">
            <v>0.32258064516129031</v>
          </cell>
        </row>
        <row r="17">
          <cell r="F17">
            <v>0.13043478260869565</v>
          </cell>
        </row>
        <row r="18">
          <cell r="F18">
            <v>0.1875</v>
          </cell>
        </row>
        <row r="19">
          <cell r="F19">
            <v>2.3529411764705882E-2</v>
          </cell>
        </row>
        <row r="20">
          <cell r="F20">
            <v>0.25877192982456143</v>
          </cell>
        </row>
        <row r="23">
          <cell r="F23">
            <v>0</v>
          </cell>
        </row>
        <row r="24">
          <cell r="F24">
            <v>0.13043478260869565</v>
          </cell>
        </row>
        <row r="25">
          <cell r="F25">
            <v>0.18518518518518517</v>
          </cell>
        </row>
        <row r="26">
          <cell r="F26">
            <v>0.18604651162790697</v>
          </cell>
        </row>
        <row r="27">
          <cell r="F27">
            <v>0.24324324324324326</v>
          </cell>
        </row>
        <row r="28">
          <cell r="F28">
            <v>0.2857142857142857</v>
          </cell>
        </row>
        <row r="29">
          <cell r="F29">
            <v>0.3888888888888889</v>
          </cell>
        </row>
        <row r="30">
          <cell r="F30">
            <v>0.70588235294117652</v>
          </cell>
        </row>
        <row r="31">
          <cell r="F31">
            <v>0.5</v>
          </cell>
        </row>
        <row r="32">
          <cell r="F32">
            <v>0.44444444444444442</v>
          </cell>
        </row>
        <row r="33">
          <cell r="F33">
            <v>0.11538461538461539</v>
          </cell>
        </row>
        <row r="34">
          <cell r="F34">
            <v>0.40540540540540543</v>
          </cell>
        </row>
        <row r="35">
          <cell r="F35">
            <v>0.2</v>
          </cell>
        </row>
        <row r="36">
          <cell r="F36">
            <v>0.25498891352549891</v>
          </cell>
        </row>
        <row r="39">
          <cell r="F39">
            <v>0.27272727272727271</v>
          </cell>
        </row>
        <row r="40">
          <cell r="F40">
            <v>0.23529411764705882</v>
          </cell>
        </row>
        <row r="41">
          <cell r="F41">
            <v>0.22580645161290322</v>
          </cell>
        </row>
        <row r="42">
          <cell r="F42">
            <v>6.6666666666666666E-2</v>
          </cell>
        </row>
        <row r="43">
          <cell r="F43">
            <v>0.39473684210526316</v>
          </cell>
        </row>
        <row r="44">
          <cell r="F44">
            <v>0.51428571428571423</v>
          </cell>
        </row>
        <row r="45">
          <cell r="F45">
            <v>0.61904761904761907</v>
          </cell>
        </row>
        <row r="46">
          <cell r="F46">
            <v>0.8</v>
          </cell>
        </row>
        <row r="47">
          <cell r="F47">
            <v>0.42857142857142855</v>
          </cell>
        </row>
        <row r="48">
          <cell r="F48">
            <v>0.6071428571428571</v>
          </cell>
        </row>
        <row r="49">
          <cell r="F49">
            <v>0.22</v>
          </cell>
        </row>
        <row r="50">
          <cell r="F50">
            <v>0.375</v>
          </cell>
        </row>
        <row r="51">
          <cell r="F51">
            <v>0.1</v>
          </cell>
        </row>
        <row r="52">
          <cell r="F52">
            <v>0.32125603864734298</v>
          </cell>
        </row>
        <row r="55">
          <cell r="F55">
            <v>5.8823529411764705E-2</v>
          </cell>
        </row>
        <row r="56">
          <cell r="F56">
            <v>0.21428571428571427</v>
          </cell>
        </row>
        <row r="57">
          <cell r="F57">
            <v>0.43478260869565216</v>
          </cell>
        </row>
        <row r="58">
          <cell r="F58">
            <v>0.12121212121212122</v>
          </cell>
        </row>
        <row r="59">
          <cell r="F59">
            <v>0.15384615384615385</v>
          </cell>
        </row>
        <row r="60">
          <cell r="F60">
            <v>0.37142857142857144</v>
          </cell>
        </row>
        <row r="61">
          <cell r="F61">
            <v>0.58333333333333337</v>
          </cell>
        </row>
        <row r="62">
          <cell r="F62">
            <v>0.45454545454545453</v>
          </cell>
        </row>
        <row r="63">
          <cell r="F63">
            <v>0.26315789473684209</v>
          </cell>
        </row>
        <row r="64">
          <cell r="F64">
            <v>0.22222222222222221</v>
          </cell>
        </row>
        <row r="65">
          <cell r="F65">
            <v>2.1276595744680851E-2</v>
          </cell>
        </row>
        <row r="66">
          <cell r="F66">
            <v>7.6923076923076927E-2</v>
          </cell>
        </row>
        <row r="67">
          <cell r="F67">
            <v>2.3255813953488372E-2</v>
          </cell>
        </row>
        <row r="68">
          <cell r="F68">
            <v>0.20626631853785901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3.8461538461538464E-2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0.12195121951219512</v>
          </cell>
        </row>
        <row r="77">
          <cell r="F77">
            <v>0.4</v>
          </cell>
        </row>
        <row r="78">
          <cell r="F78">
            <v>0.33333333333333331</v>
          </cell>
        </row>
        <row r="79">
          <cell r="F79">
            <v>0.25</v>
          </cell>
        </row>
        <row r="80">
          <cell r="F80">
            <v>0.15384615384615385</v>
          </cell>
        </row>
        <row r="81">
          <cell r="F81">
            <v>0</v>
          </cell>
        </row>
        <row r="82">
          <cell r="F82">
            <v>0.10344827586206896</v>
          </cell>
        </row>
        <row r="83">
          <cell r="F83">
            <v>0.1</v>
          </cell>
        </row>
        <row r="84">
          <cell r="F84">
            <v>9.8086124401913874E-2</v>
          </cell>
        </row>
        <row r="87">
          <cell r="F87">
            <v>0</v>
          </cell>
        </row>
        <row r="88">
          <cell r="F88">
            <v>0.5161290322580645</v>
          </cell>
        </row>
        <row r="89">
          <cell r="F89">
            <v>0.32258064516129031</v>
          </cell>
        </row>
        <row r="90">
          <cell r="F90">
            <v>8.5714285714285715E-2</v>
          </cell>
        </row>
        <row r="91">
          <cell r="F91">
            <v>0.27500000000000002</v>
          </cell>
        </row>
        <row r="92">
          <cell r="F92">
            <v>0.2</v>
          </cell>
        </row>
        <row r="93">
          <cell r="F93">
            <v>0.62962962962962965</v>
          </cell>
        </row>
        <row r="94">
          <cell r="F94">
            <v>0.78947368421052633</v>
          </cell>
        </row>
        <row r="95">
          <cell r="F95">
            <v>0.55555555555555558</v>
          </cell>
        </row>
        <row r="96">
          <cell r="F96">
            <v>0.6</v>
          </cell>
        </row>
        <row r="97">
          <cell r="F97">
            <v>0.34090909090909088</v>
          </cell>
        </row>
        <row r="98">
          <cell r="F98">
            <v>0.6333333333333333</v>
          </cell>
        </row>
        <row r="99">
          <cell r="F99">
            <v>0.64814814814814814</v>
          </cell>
        </row>
        <row r="100">
          <cell r="F100">
            <v>0.43269230769230771</v>
          </cell>
        </row>
        <row r="103">
          <cell r="F103">
            <v>0.23529411764705882</v>
          </cell>
        </row>
        <row r="104">
          <cell r="F104">
            <v>0.56000000000000005</v>
          </cell>
        </row>
        <row r="105">
          <cell r="F105">
            <v>0.62857142857142856</v>
          </cell>
        </row>
        <row r="106">
          <cell r="F106">
            <v>0.54285714285714282</v>
          </cell>
        </row>
        <row r="107">
          <cell r="F107">
            <v>0.57894736842105265</v>
          </cell>
        </row>
        <row r="108">
          <cell r="F108">
            <v>0.76666666666666672</v>
          </cell>
        </row>
        <row r="109">
          <cell r="F109">
            <v>0.84615384615384615</v>
          </cell>
        </row>
        <row r="110">
          <cell r="F110">
            <v>0.94444444444444442</v>
          </cell>
        </row>
        <row r="111">
          <cell r="F111">
            <v>0.76</v>
          </cell>
        </row>
        <row r="112">
          <cell r="F112">
            <v>0.75</v>
          </cell>
        </row>
        <row r="113">
          <cell r="F113">
            <v>0.85</v>
          </cell>
        </row>
        <row r="114">
          <cell r="F114">
            <v>0.8</v>
          </cell>
        </row>
        <row r="115">
          <cell r="F115">
            <v>0.50847457627118642</v>
          </cell>
        </row>
        <row r="116">
          <cell r="F116">
            <v>0.66748768472906406</v>
          </cell>
        </row>
        <row r="119">
          <cell r="F119">
            <v>0.27777777777777779</v>
          </cell>
        </row>
        <row r="120">
          <cell r="F120">
            <v>0.53846153846153844</v>
          </cell>
        </row>
        <row r="121">
          <cell r="F121">
            <v>0.6470588235294118</v>
          </cell>
        </row>
        <row r="122">
          <cell r="F122">
            <v>0.6216216216216216</v>
          </cell>
        </row>
        <row r="123">
          <cell r="F123">
            <v>0.63157894736842102</v>
          </cell>
        </row>
        <row r="124">
          <cell r="F124">
            <v>0.7</v>
          </cell>
        </row>
        <row r="125">
          <cell r="F125">
            <v>0.83333333333333337</v>
          </cell>
        </row>
        <row r="126">
          <cell r="F126">
            <v>0.9</v>
          </cell>
        </row>
        <row r="127">
          <cell r="F127">
            <v>0.95</v>
          </cell>
        </row>
        <row r="128">
          <cell r="F128">
            <v>0.7407407407407407</v>
          </cell>
        </row>
        <row r="129">
          <cell r="F129">
            <v>0.83720930232558144</v>
          </cell>
        </row>
        <row r="130">
          <cell r="F130">
            <v>0.71875</v>
          </cell>
        </row>
        <row r="131">
          <cell r="F131">
            <v>0.71153846153846156</v>
          </cell>
        </row>
        <row r="132">
          <cell r="F132">
            <v>0.70324189526184544</v>
          </cell>
        </row>
      </sheetData>
      <sheetData sheetId="14">
        <row r="8">
          <cell r="F8">
            <v>0.10714285714285714</v>
          </cell>
        </row>
        <row r="9">
          <cell r="F9">
            <v>0.15625</v>
          </cell>
        </row>
        <row r="10">
          <cell r="F10">
            <v>0.38095238095238093</v>
          </cell>
        </row>
        <row r="11">
          <cell r="F11">
            <v>0.10526315789473684</v>
          </cell>
        </row>
        <row r="12">
          <cell r="F12">
            <v>8.5714285714285715E-2</v>
          </cell>
        </row>
        <row r="13">
          <cell r="F13">
            <v>0</v>
          </cell>
        </row>
        <row r="14">
          <cell r="F14">
            <v>0.12574850299401197</v>
          </cell>
        </row>
        <row r="17">
          <cell r="F17">
            <v>0.125</v>
          </cell>
        </row>
        <row r="18">
          <cell r="F18">
            <v>0.5</v>
          </cell>
        </row>
        <row r="19">
          <cell r="F19">
            <v>0.3888888888888889</v>
          </cell>
        </row>
        <row r="20">
          <cell r="F20">
            <v>0.21052631578947367</v>
          </cell>
        </row>
        <row r="21">
          <cell r="F21">
            <v>0.13043478260869565</v>
          </cell>
        </row>
        <row r="22">
          <cell r="F22">
            <v>0</v>
          </cell>
        </row>
        <row r="23">
          <cell r="F23">
            <v>0.21383647798742139</v>
          </cell>
        </row>
        <row r="26">
          <cell r="F26">
            <v>0.29166666666666669</v>
          </cell>
        </row>
        <row r="27">
          <cell r="F27">
            <v>0.44</v>
          </cell>
        </row>
        <row r="28">
          <cell r="F28">
            <v>0.61111111111111116</v>
          </cell>
        </row>
        <row r="29">
          <cell r="F29">
            <v>0.10526315789473684</v>
          </cell>
        </row>
        <row r="30">
          <cell r="F30">
            <v>0.32258064516129031</v>
          </cell>
        </row>
        <row r="31">
          <cell r="F31">
            <v>3.5714285714285712E-2</v>
          </cell>
        </row>
        <row r="32">
          <cell r="F32">
            <v>0.28965517241379313</v>
          </cell>
        </row>
        <row r="63">
          <cell r="F63">
            <v>0.45161290322580644</v>
          </cell>
        </row>
        <row r="64">
          <cell r="F64">
            <v>0.6</v>
          </cell>
        </row>
        <row r="65">
          <cell r="F65">
            <v>0.73333333333333328</v>
          </cell>
        </row>
        <row r="66">
          <cell r="F66">
            <v>0.625</v>
          </cell>
        </row>
        <row r="67">
          <cell r="F67">
            <v>0.61904761904761907</v>
          </cell>
        </row>
        <row r="68">
          <cell r="F68">
            <v>0.34482758620689657</v>
          </cell>
        </row>
        <row r="69">
          <cell r="F69">
            <v>0</v>
          </cell>
        </row>
        <row r="70">
          <cell r="F70">
            <v>0.4050632911392405</v>
          </cell>
        </row>
        <row r="73">
          <cell r="F73">
            <v>0.4</v>
          </cell>
        </row>
        <row r="74">
          <cell r="F74">
            <v>0.5</v>
          </cell>
        </row>
        <row r="75">
          <cell r="F75">
            <v>0.5714285714285714</v>
          </cell>
        </row>
        <row r="76">
          <cell r="F76">
            <v>0.66666666666666663</v>
          </cell>
        </row>
        <row r="77">
          <cell r="F77">
            <v>0.31578947368421051</v>
          </cell>
        </row>
        <row r="78">
          <cell r="F78">
            <v>0.17241379310344829</v>
          </cell>
        </row>
        <row r="79">
          <cell r="F79">
            <v>0</v>
          </cell>
        </row>
        <row r="80">
          <cell r="F80">
            <v>0.3125</v>
          </cell>
        </row>
        <row r="83">
          <cell r="F83">
            <v>5.7142857142857141E-2</v>
          </cell>
        </row>
        <row r="84">
          <cell r="F84">
            <v>0.36363636363636365</v>
          </cell>
        </row>
        <row r="85">
          <cell r="F85">
            <v>0.53846153846153844</v>
          </cell>
        </row>
        <row r="86">
          <cell r="F86">
            <v>0.63157894736842102</v>
          </cell>
        </row>
        <row r="87">
          <cell r="F87">
            <v>0.25</v>
          </cell>
        </row>
        <row r="88">
          <cell r="F88">
            <v>7.1428571428571425E-2</v>
          </cell>
        </row>
        <row r="89">
          <cell r="F89">
            <v>0.4358974358974359</v>
          </cell>
        </row>
        <row r="90">
          <cell r="F90">
            <v>0.29696969696969699</v>
          </cell>
        </row>
      </sheetData>
      <sheetData sheetId="15"/>
      <sheetData sheetId="16">
        <row r="8">
          <cell r="F8">
            <v>0</v>
          </cell>
        </row>
        <row r="9">
          <cell r="F9">
            <v>0.32258064516129031</v>
          </cell>
        </row>
        <row r="10">
          <cell r="F10">
            <v>0.08</v>
          </cell>
        </row>
        <row r="11">
          <cell r="F11">
            <v>0.14285714285714285</v>
          </cell>
        </row>
        <row r="12">
          <cell r="F12">
            <v>0.15384615384615385</v>
          </cell>
        </row>
        <row r="13">
          <cell r="F13">
            <v>0.10714285714285714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9.4786729857819899E-2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3.8461538461538464E-2</v>
          </cell>
        </row>
        <row r="24">
          <cell r="F24">
            <v>0.125</v>
          </cell>
        </row>
        <row r="25">
          <cell r="F25">
            <v>0.41935483870967744</v>
          </cell>
        </row>
        <row r="26">
          <cell r="F26">
            <v>0.41666666666666669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0.23529411764705882</v>
          </cell>
        </row>
        <row r="30">
          <cell r="F30">
            <v>0.125</v>
          </cell>
        </row>
        <row r="31">
          <cell r="F31">
            <v>0.12903225806451613</v>
          </cell>
        </row>
        <row r="34">
          <cell r="F34">
            <v>0.15384615384615385</v>
          </cell>
        </row>
        <row r="35">
          <cell r="F35">
            <v>0.3783783783783784</v>
          </cell>
        </row>
        <row r="36">
          <cell r="F36">
            <v>0</v>
          </cell>
        </row>
        <row r="37">
          <cell r="F37">
            <v>0.14285714285714285</v>
          </cell>
        </row>
        <row r="38">
          <cell r="F38">
            <v>0.26923076923076922</v>
          </cell>
        </row>
        <row r="39">
          <cell r="F39">
            <v>0.30232558139534882</v>
          </cell>
        </row>
        <row r="40">
          <cell r="F40">
            <v>6.8965517241379309E-2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0.05</v>
          </cell>
        </row>
        <row r="44">
          <cell r="F44">
            <v>0.15808823529411764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0.05</v>
          </cell>
        </row>
        <row r="50">
          <cell r="F50">
            <v>0.14285714285714285</v>
          </cell>
        </row>
        <row r="51">
          <cell r="F51">
            <v>0.46666666666666667</v>
          </cell>
        </row>
        <row r="52">
          <cell r="F52">
            <v>0.2</v>
          </cell>
        </row>
        <row r="53">
          <cell r="F53">
            <v>0.04</v>
          </cell>
        </row>
        <row r="54">
          <cell r="F54">
            <v>0</v>
          </cell>
        </row>
        <row r="55">
          <cell r="F55">
            <v>4.3478260869565216E-2</v>
          </cell>
        </row>
        <row r="56">
          <cell r="F56">
            <v>5.8823529411764705E-2</v>
          </cell>
        </row>
        <row r="57">
          <cell r="F57">
            <v>0.11666666666666667</v>
          </cell>
        </row>
      </sheetData>
      <sheetData sheetId="17"/>
      <sheetData sheetId="18">
        <row r="19">
          <cell r="F19">
            <v>0.3</v>
          </cell>
        </row>
        <row r="20">
          <cell r="F20">
            <v>0.50724637681159424</v>
          </cell>
        </row>
        <row r="21">
          <cell r="F21">
            <v>0.36734693877551022</v>
          </cell>
        </row>
        <row r="22">
          <cell r="F22">
            <v>0.8214285714285714</v>
          </cell>
        </row>
        <row r="23">
          <cell r="F23">
            <v>0.35714285714285715</v>
          </cell>
        </row>
        <row r="24">
          <cell r="F24">
            <v>0.88461538461538458</v>
          </cell>
        </row>
        <row r="25">
          <cell r="F25">
            <v>0.9375</v>
          </cell>
        </row>
        <row r="26">
          <cell r="F26">
            <v>0.59090909090909094</v>
          </cell>
        </row>
        <row r="27">
          <cell r="F27">
            <v>0.81818181818181823</v>
          </cell>
        </row>
        <row r="28">
          <cell r="F28">
            <v>0.27272727272727271</v>
          </cell>
        </row>
        <row r="29">
          <cell r="F29">
            <v>0.56395348837209303</v>
          </cell>
        </row>
        <row r="32">
          <cell r="F32">
            <v>0.25</v>
          </cell>
        </row>
        <row r="33">
          <cell r="F33">
            <v>0.26153846153846155</v>
          </cell>
        </row>
        <row r="34">
          <cell r="F34">
            <v>5.2631578947368418E-2</v>
          </cell>
        </row>
        <row r="35">
          <cell r="F35">
            <v>0.1388888888888889</v>
          </cell>
        </row>
        <row r="36">
          <cell r="F36">
            <v>2.9411764705882353E-2</v>
          </cell>
        </row>
        <row r="37">
          <cell r="F37">
            <v>0.39285714285714285</v>
          </cell>
        </row>
        <row r="38">
          <cell r="F38">
            <v>0.5641025641025641</v>
          </cell>
        </row>
        <row r="39">
          <cell r="F39">
            <v>0.47368421052631576</v>
          </cell>
        </row>
        <row r="40">
          <cell r="F40">
            <v>0.41666666666666669</v>
          </cell>
        </row>
        <row r="41">
          <cell r="F41">
            <v>0.27272727272727271</v>
          </cell>
        </row>
        <row r="42">
          <cell r="F42">
            <v>0.26461538461538464</v>
          </cell>
        </row>
        <row r="45">
          <cell r="F45">
            <v>5.7142857142857141E-2</v>
          </cell>
        </row>
        <row r="46">
          <cell r="F46">
            <v>7.2463768115942032E-2</v>
          </cell>
        </row>
        <row r="47">
          <cell r="F47">
            <v>0</v>
          </cell>
        </row>
        <row r="48">
          <cell r="F48">
            <v>2.8571428571428571E-2</v>
          </cell>
        </row>
        <row r="49">
          <cell r="F49">
            <v>6.6666666666666666E-2</v>
          </cell>
        </row>
        <row r="50">
          <cell r="F50">
            <v>0.22222222222222221</v>
          </cell>
        </row>
        <row r="51">
          <cell r="F51">
            <v>0.61111111111111116</v>
          </cell>
        </row>
        <row r="52">
          <cell r="F52">
            <v>0.22222222222222221</v>
          </cell>
        </row>
        <row r="53">
          <cell r="F53">
            <v>0.16666666666666666</v>
          </cell>
        </row>
        <row r="54">
          <cell r="F54">
            <v>0</v>
          </cell>
        </row>
        <row r="55">
          <cell r="F55">
            <v>0.13580246913580246</v>
          </cell>
        </row>
        <row r="58">
          <cell r="F58">
            <v>6.0606060606060608E-2</v>
          </cell>
        </row>
        <row r="59">
          <cell r="F59">
            <v>9.5238095238095233E-2</v>
          </cell>
        </row>
        <row r="60">
          <cell r="F60">
            <v>0</v>
          </cell>
        </row>
        <row r="61">
          <cell r="F61">
            <v>5.4054054054054057E-2</v>
          </cell>
        </row>
        <row r="62">
          <cell r="F62">
            <v>3.7037037037037035E-2</v>
          </cell>
        </row>
        <row r="63">
          <cell r="F63">
            <v>0.25714285714285712</v>
          </cell>
        </row>
        <row r="64">
          <cell r="F64">
            <v>0.5</v>
          </cell>
        </row>
        <row r="65">
          <cell r="F65">
            <v>0.2</v>
          </cell>
        </row>
        <row r="66">
          <cell r="F66">
            <v>6.6666666666666666E-2</v>
          </cell>
        </row>
        <row r="67">
          <cell r="F67">
            <v>6.6666666666666666E-2</v>
          </cell>
        </row>
        <row r="68">
          <cell r="F68">
            <v>0.13372093023255813</v>
          </cell>
        </row>
        <row r="71">
          <cell r="F71">
            <v>0.40625</v>
          </cell>
        </row>
        <row r="72">
          <cell r="F72">
            <v>0.65789473684210531</v>
          </cell>
        </row>
        <row r="73">
          <cell r="F73">
            <v>0.23333333333333334</v>
          </cell>
        </row>
        <row r="74">
          <cell r="F74">
            <v>0.18181818181818182</v>
          </cell>
        </row>
        <row r="75">
          <cell r="F75">
            <v>8.3333333333333329E-2</v>
          </cell>
        </row>
        <row r="76">
          <cell r="F76">
            <v>4.7619047619047616E-2</v>
          </cell>
        </row>
        <row r="77">
          <cell r="F77">
            <v>5.5555555555555552E-2</v>
          </cell>
        </row>
        <row r="78">
          <cell r="F78">
            <v>0.41025641025641024</v>
          </cell>
        </row>
        <row r="79">
          <cell r="F79">
            <v>0.6</v>
          </cell>
        </row>
        <row r="80">
          <cell r="F80">
            <v>0.33333333333333331</v>
          </cell>
        </row>
        <row r="81">
          <cell r="F81">
            <v>0.25</v>
          </cell>
        </row>
        <row r="82">
          <cell r="F82">
            <v>0.29154518950437319</v>
          </cell>
        </row>
        <row r="86">
          <cell r="F86">
            <v>0.56756756756756754</v>
          </cell>
        </row>
        <row r="87">
          <cell r="F87">
            <v>0.8</v>
          </cell>
        </row>
        <row r="88">
          <cell r="F88">
            <v>0.625</v>
          </cell>
        </row>
        <row r="89">
          <cell r="F89">
            <v>0.4</v>
          </cell>
        </row>
        <row r="90">
          <cell r="F90">
            <v>0.36363636363636365</v>
          </cell>
        </row>
        <row r="91">
          <cell r="F91">
            <v>5.128205128205128E-2</v>
          </cell>
        </row>
        <row r="92">
          <cell r="F92">
            <v>0.27777777777777779</v>
          </cell>
        </row>
        <row r="93">
          <cell r="F93">
            <v>0.23529411764705882</v>
          </cell>
        </row>
        <row r="94">
          <cell r="F94">
            <v>0.61538461538461542</v>
          </cell>
        </row>
        <row r="95">
          <cell r="F95">
            <v>0.42857142857142855</v>
          </cell>
        </row>
        <row r="96">
          <cell r="F96">
            <v>0.12903225806451613</v>
          </cell>
        </row>
        <row r="97">
          <cell r="F97">
            <v>0.39841688654353563</v>
          </cell>
        </row>
        <row r="100">
          <cell r="F100">
            <v>0.17142857142857143</v>
          </cell>
        </row>
        <row r="101">
          <cell r="F101">
            <v>0.67647058823529416</v>
          </cell>
        </row>
        <row r="102">
          <cell r="F102">
            <v>0.4</v>
          </cell>
        </row>
        <row r="103">
          <cell r="F103">
            <v>4.6511627906976744E-2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0.125</v>
          </cell>
        </row>
        <row r="109">
          <cell r="F109">
            <v>7.6923076923076927E-2</v>
          </cell>
        </row>
        <row r="110">
          <cell r="F110">
            <v>8.8235294117647065E-2</v>
          </cell>
        </row>
        <row r="111">
          <cell r="F111">
            <v>0.1306532663316583</v>
          </cell>
        </row>
        <row r="114">
          <cell r="F114">
            <v>0.20512820512820512</v>
          </cell>
        </row>
        <row r="115">
          <cell r="F115">
            <v>0.73529411764705888</v>
          </cell>
        </row>
        <row r="116">
          <cell r="F116">
            <v>0.5</v>
          </cell>
        </row>
        <row r="117">
          <cell r="F117">
            <v>0.39473684210526316</v>
          </cell>
        </row>
        <row r="118">
          <cell r="F118">
            <v>0.31944444444444442</v>
          </cell>
        </row>
        <row r="119">
          <cell r="F119">
            <v>6.3829787234042548E-2</v>
          </cell>
        </row>
        <row r="120">
          <cell r="F120">
            <v>0.12121212121212122</v>
          </cell>
        </row>
        <row r="121">
          <cell r="F121">
            <v>0.42857142857142855</v>
          </cell>
        </row>
        <row r="122">
          <cell r="F122">
            <v>0.36</v>
          </cell>
        </row>
        <row r="123">
          <cell r="F123">
            <v>0.66666666666666663</v>
          </cell>
        </row>
        <row r="124">
          <cell r="F124">
            <v>0.54838709677419351</v>
          </cell>
        </row>
        <row r="125">
          <cell r="F125">
            <v>0.35732647814910024</v>
          </cell>
        </row>
      </sheetData>
      <sheetData sheetId="19">
        <row r="17">
          <cell r="F17">
            <v>0.1111111111111111</v>
          </cell>
        </row>
        <row r="18">
          <cell r="F18">
            <v>0.5</v>
          </cell>
        </row>
        <row r="19">
          <cell r="F19">
            <v>0.10526315789473684</v>
          </cell>
        </row>
        <row r="20">
          <cell r="F20">
            <v>0.2</v>
          </cell>
        </row>
        <row r="21">
          <cell r="F21">
            <v>0.55769230769230771</v>
          </cell>
        </row>
        <row r="22">
          <cell r="F22">
            <v>8.8235294117647065E-2</v>
          </cell>
        </row>
        <row r="23">
          <cell r="F23">
            <v>0.12195121951219512</v>
          </cell>
        </row>
        <row r="24">
          <cell r="F24">
            <v>0.26046511627906976</v>
          </cell>
        </row>
        <row r="27">
          <cell r="F27">
            <v>0.41176470588235292</v>
          </cell>
        </row>
        <row r="28">
          <cell r="F28">
            <v>0.2</v>
          </cell>
        </row>
        <row r="29">
          <cell r="F29">
            <v>4.3478260869565216E-2</v>
          </cell>
        </row>
        <row r="30">
          <cell r="F30">
            <v>8.8235294117647065E-2</v>
          </cell>
        </row>
        <row r="31">
          <cell r="F31">
            <v>0.65116279069767447</v>
          </cell>
        </row>
        <row r="32">
          <cell r="F32">
            <v>0.40540540540540543</v>
          </cell>
        </row>
        <row r="33">
          <cell r="F33">
            <v>0.10256410256410256</v>
          </cell>
        </row>
        <row r="34">
          <cell r="F34">
            <v>0.29326923076923078</v>
          </cell>
        </row>
        <row r="37">
          <cell r="F37">
            <v>0</v>
          </cell>
        </row>
        <row r="38">
          <cell r="F38">
            <v>0.22222222222222221</v>
          </cell>
        </row>
        <row r="39">
          <cell r="F39">
            <v>0.2608695652173913</v>
          </cell>
        </row>
        <row r="40">
          <cell r="F40">
            <v>0.46875</v>
          </cell>
        </row>
        <row r="41">
          <cell r="F41">
            <v>0.63414634146341464</v>
          </cell>
        </row>
        <row r="42">
          <cell r="F42">
            <v>0.27272727272727271</v>
          </cell>
        </row>
        <row r="43">
          <cell r="F43">
            <v>0.15384615384615385</v>
          </cell>
        </row>
        <row r="44">
          <cell r="F44">
            <v>0.32195121951219513</v>
          </cell>
        </row>
        <row r="47">
          <cell r="F47">
            <v>0.35294117647058826</v>
          </cell>
        </row>
        <row r="48">
          <cell r="F48">
            <v>0.5</v>
          </cell>
        </row>
        <row r="49">
          <cell r="F49">
            <v>0.36363636363636365</v>
          </cell>
        </row>
        <row r="50">
          <cell r="F50">
            <v>0.5714285714285714</v>
          </cell>
        </row>
        <row r="51">
          <cell r="F51">
            <v>0.69230769230769229</v>
          </cell>
        </row>
        <row r="52">
          <cell r="F52">
            <v>6.0606060606060608E-2</v>
          </cell>
        </row>
        <row r="53">
          <cell r="F53">
            <v>0</v>
          </cell>
        </row>
        <row r="54">
          <cell r="F54">
            <v>0.36180904522613067</v>
          </cell>
        </row>
        <row r="57">
          <cell r="F57">
            <v>0.88235294117647056</v>
          </cell>
        </row>
        <row r="58">
          <cell r="F58">
            <v>0.66666666666666663</v>
          </cell>
        </row>
        <row r="59">
          <cell r="F59">
            <v>0.54545454545454541</v>
          </cell>
        </row>
        <row r="60">
          <cell r="F60">
            <v>0.67741935483870963</v>
          </cell>
        </row>
        <row r="61">
          <cell r="F61">
            <v>0.66666666666666663</v>
          </cell>
        </row>
        <row r="62">
          <cell r="F62">
            <v>0.7142857142857143</v>
          </cell>
        </row>
        <row r="63">
          <cell r="F63">
            <v>0.5</v>
          </cell>
        </row>
        <row r="64">
          <cell r="F64">
            <v>0.65193370165745856</v>
          </cell>
        </row>
        <row r="67">
          <cell r="F67">
            <v>0.52941176470588236</v>
          </cell>
        </row>
        <row r="68">
          <cell r="F68">
            <v>0.72222222222222221</v>
          </cell>
        </row>
        <row r="69">
          <cell r="F69">
            <v>0.59090909090909094</v>
          </cell>
        </row>
        <row r="70">
          <cell r="F70">
            <v>0.86206896551724133</v>
          </cell>
        </row>
        <row r="71">
          <cell r="F71">
            <v>0.58823529411764708</v>
          </cell>
        </row>
        <row r="72">
          <cell r="F72">
            <v>0.6333333333333333</v>
          </cell>
        </row>
        <row r="73">
          <cell r="F73">
            <v>0.41176470588235292</v>
          </cell>
        </row>
        <row r="74">
          <cell r="F74">
            <v>0.61413043478260865</v>
          </cell>
        </row>
        <row r="77">
          <cell r="F77">
            <v>0.72222222222222221</v>
          </cell>
        </row>
        <row r="78">
          <cell r="F78">
            <v>0.55000000000000004</v>
          </cell>
        </row>
        <row r="79">
          <cell r="F79">
            <v>0.78260869565217395</v>
          </cell>
        </row>
        <row r="80">
          <cell r="F80">
            <v>0.62962962962962965</v>
          </cell>
        </row>
        <row r="81">
          <cell r="F81">
            <v>0.35294117647058826</v>
          </cell>
        </row>
        <row r="82">
          <cell r="F82">
            <v>0.67647058823529416</v>
          </cell>
        </row>
        <row r="83">
          <cell r="F83">
            <v>0.27272727272727271</v>
          </cell>
        </row>
        <row r="84">
          <cell r="F84">
            <v>0.529126213592233</v>
          </cell>
        </row>
      </sheetData>
      <sheetData sheetId="20">
        <row r="17">
          <cell r="F17">
            <v>6.6666666666666666E-2</v>
          </cell>
        </row>
        <row r="18">
          <cell r="F18">
            <v>0.11538461538461539</v>
          </cell>
        </row>
        <row r="19">
          <cell r="F19">
            <v>0.21052631578947367</v>
          </cell>
        </row>
        <row r="20">
          <cell r="F20">
            <v>0.4</v>
          </cell>
        </row>
        <row r="21">
          <cell r="F21">
            <v>0</v>
          </cell>
        </row>
        <row r="22">
          <cell r="F22">
            <v>0.25</v>
          </cell>
        </row>
        <row r="23">
          <cell r="F23">
            <v>0.33333333333333331</v>
          </cell>
        </row>
        <row r="24">
          <cell r="F24">
            <v>0.6428571428571429</v>
          </cell>
        </row>
        <row r="25">
          <cell r="F25">
            <v>0.42028985507246375</v>
          </cell>
        </row>
        <row r="26">
          <cell r="F26">
            <v>0.30303030303030304</v>
          </cell>
        </row>
        <row r="41">
          <cell r="F41">
            <v>0.35294117647058826</v>
          </cell>
        </row>
        <row r="42">
          <cell r="F42">
            <v>0.17857142857142858</v>
          </cell>
        </row>
        <row r="43">
          <cell r="F43">
            <v>0.31818181818181818</v>
          </cell>
        </row>
        <row r="44">
          <cell r="F44">
            <v>0.76923076923076927</v>
          </cell>
        </row>
        <row r="45">
          <cell r="F45">
            <v>0.63636363636363635</v>
          </cell>
        </row>
        <row r="46">
          <cell r="F46">
            <v>0.33333333333333331</v>
          </cell>
        </row>
        <row r="47">
          <cell r="F47">
            <v>0.58823529411764708</v>
          </cell>
        </row>
        <row r="48">
          <cell r="F48">
            <v>0.84615384615384615</v>
          </cell>
        </row>
        <row r="49">
          <cell r="F49">
            <v>0.64516129032258063</v>
          </cell>
        </row>
        <row r="50">
          <cell r="F50">
            <v>0.58181818181818179</v>
          </cell>
        </row>
        <row r="51">
          <cell r="F51">
            <v>0.51937984496124034</v>
          </cell>
        </row>
        <row r="54">
          <cell r="F54">
            <v>0.88235294117647056</v>
          </cell>
        </row>
        <row r="55">
          <cell r="F55">
            <v>0.7857142857142857</v>
          </cell>
        </row>
        <row r="56">
          <cell r="F56">
            <v>0.52173913043478259</v>
          </cell>
        </row>
        <row r="57">
          <cell r="F57">
            <v>0.62962962962962965</v>
          </cell>
        </row>
        <row r="58">
          <cell r="F58">
            <v>0.5</v>
          </cell>
        </row>
        <row r="59">
          <cell r="F59">
            <v>0.7857142857142857</v>
          </cell>
        </row>
        <row r="60">
          <cell r="F60">
            <v>0.66666666666666663</v>
          </cell>
        </row>
        <row r="61">
          <cell r="F61">
            <v>0.6428571428571429</v>
          </cell>
        </row>
        <row r="62">
          <cell r="F62">
            <v>0.48275862068965519</v>
          </cell>
        </row>
        <row r="63">
          <cell r="F63">
            <v>0.45614035087719296</v>
          </cell>
        </row>
        <row r="64">
          <cell r="F64">
            <v>0.60902255639097747</v>
          </cell>
        </row>
        <row r="67">
          <cell r="F67">
            <v>0.88888888888888884</v>
          </cell>
        </row>
        <row r="68">
          <cell r="F68">
            <v>0.6071428571428571</v>
          </cell>
        </row>
        <row r="69">
          <cell r="F69">
            <v>0.7142857142857143</v>
          </cell>
        </row>
        <row r="70">
          <cell r="F70">
            <v>0.73076923076923073</v>
          </cell>
        </row>
        <row r="71">
          <cell r="F71">
            <v>0.80952380952380953</v>
          </cell>
        </row>
        <row r="72">
          <cell r="F72">
            <v>0.73076923076923073</v>
          </cell>
        </row>
        <row r="73">
          <cell r="F73">
            <v>0.41666666666666669</v>
          </cell>
        </row>
        <row r="74">
          <cell r="F74">
            <v>0.61538461538461542</v>
          </cell>
        </row>
        <row r="75">
          <cell r="F75">
            <v>0.4</v>
          </cell>
        </row>
        <row r="76">
          <cell r="F76">
            <v>0.31428571428571428</v>
          </cell>
        </row>
        <row r="77">
          <cell r="F77">
            <v>0.5625</v>
          </cell>
        </row>
        <row r="80">
          <cell r="F80">
            <v>0.94736842105263153</v>
          </cell>
        </row>
        <row r="81">
          <cell r="F81">
            <v>0.85185185185185186</v>
          </cell>
        </row>
        <row r="82">
          <cell r="F82">
            <v>0.52631578947368418</v>
          </cell>
        </row>
        <row r="83">
          <cell r="F83">
            <v>0.62962962962962965</v>
          </cell>
        </row>
        <row r="84">
          <cell r="F84">
            <v>0.5714285714285714</v>
          </cell>
        </row>
        <row r="85">
          <cell r="F85">
            <v>0.81481481481481477</v>
          </cell>
        </row>
        <row r="86">
          <cell r="F86">
            <v>0.84615384615384615</v>
          </cell>
        </row>
        <row r="87">
          <cell r="F87">
            <v>0.58333333333333337</v>
          </cell>
        </row>
        <row r="88">
          <cell r="F88">
            <v>0.37931034482758619</v>
          </cell>
        </row>
        <row r="89">
          <cell r="F89">
            <v>0.50666666666666671</v>
          </cell>
        </row>
        <row r="90">
          <cell r="F90">
            <v>0.63829787234042556</v>
          </cell>
        </row>
        <row r="93">
          <cell r="F93">
            <v>0.76190476190476186</v>
          </cell>
        </row>
        <row r="94">
          <cell r="F94">
            <v>0.59259259259259256</v>
          </cell>
        </row>
        <row r="95">
          <cell r="F95">
            <v>0.52631578947368418</v>
          </cell>
        </row>
        <row r="96">
          <cell r="F96">
            <v>0.55555555555555558</v>
          </cell>
        </row>
        <row r="97">
          <cell r="F97">
            <v>0.45454545454545453</v>
          </cell>
        </row>
        <row r="98">
          <cell r="F98">
            <v>0.56666666666666665</v>
          </cell>
        </row>
        <row r="99">
          <cell r="F99">
            <v>0.8214285714285714</v>
          </cell>
        </row>
        <row r="100">
          <cell r="F100">
            <v>0.53846153846153844</v>
          </cell>
        </row>
        <row r="101">
          <cell r="F101">
            <v>0.35714285714285715</v>
          </cell>
        </row>
        <row r="102">
          <cell r="F102">
            <v>0.44871794871794873</v>
          </cell>
        </row>
        <row r="103">
          <cell r="F103">
            <v>0.5426621160409556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2"/>
  <sheetViews>
    <sheetView tabSelected="1" workbookViewId="0">
      <selection activeCell="N229" sqref="N229"/>
    </sheetView>
  </sheetViews>
  <sheetFormatPr defaultRowHeight="15" x14ac:dyDescent="0.25"/>
  <cols>
    <col min="1" max="1" width="4.85546875" style="1" customWidth="1"/>
    <col min="2" max="2" width="26.140625" customWidth="1"/>
    <col min="3" max="3" width="10" style="1" customWidth="1"/>
    <col min="4" max="4" width="9.7109375" style="1" customWidth="1"/>
    <col min="5" max="7" width="8.85546875" style="1"/>
    <col min="8" max="8" width="10.140625" style="1" bestFit="1" customWidth="1"/>
    <col min="9" max="12" width="8.85546875" style="1"/>
    <col min="13" max="13" width="4.7109375" customWidth="1"/>
    <col min="14" max="14" width="9.5703125" bestFit="1" customWidth="1"/>
    <col min="15" max="15" width="9.7109375" style="1" customWidth="1"/>
  </cols>
  <sheetData>
    <row r="1" spans="1:16" ht="15.75" x14ac:dyDescent="0.25">
      <c r="B1" s="62"/>
      <c r="C1" s="63"/>
      <c r="D1" s="63"/>
    </row>
    <row r="2" spans="1:16" ht="23.25" x14ac:dyDescent="0.35">
      <c r="B2" s="74" t="s">
        <v>188</v>
      </c>
      <c r="C2" s="63"/>
      <c r="D2" s="64"/>
      <c r="E2" s="63"/>
      <c r="G2" s="13"/>
      <c r="H2" s="13"/>
    </row>
    <row r="3" spans="1:16" ht="15.75" x14ac:dyDescent="0.25">
      <c r="B3" s="62"/>
      <c r="C3" s="63"/>
      <c r="D3" s="64"/>
      <c r="E3" s="63"/>
      <c r="G3" s="13"/>
      <c r="H3" s="13"/>
    </row>
    <row r="5" spans="1:16" ht="18.75" x14ac:dyDescent="0.3">
      <c r="B5" s="75" t="s">
        <v>54</v>
      </c>
      <c r="E5" s="3"/>
      <c r="L5" s="12"/>
      <c r="N5" s="5" t="s">
        <v>26</v>
      </c>
      <c r="O5" s="5" t="s">
        <v>189</v>
      </c>
    </row>
    <row r="6" spans="1:16" s="4" customFormat="1" ht="15.75" thickBot="1" x14ac:dyDescent="0.3">
      <c r="A6" s="5"/>
      <c r="C6" s="27">
        <v>1874</v>
      </c>
      <c r="D6" s="27">
        <v>1880</v>
      </c>
      <c r="E6" s="28">
        <v>1886</v>
      </c>
      <c r="F6" s="28">
        <v>1892</v>
      </c>
      <c r="G6" s="28">
        <v>1894</v>
      </c>
      <c r="H6" s="28">
        <v>1895</v>
      </c>
      <c r="I6" s="28">
        <v>1900</v>
      </c>
      <c r="J6" s="28">
        <v>1902</v>
      </c>
      <c r="K6" s="28">
        <v>1903</v>
      </c>
      <c r="N6" s="5" t="s">
        <v>27</v>
      </c>
      <c r="O6" s="5" t="s">
        <v>190</v>
      </c>
    </row>
    <row r="7" spans="1:16" x14ac:dyDescent="0.25">
      <c r="A7" s="1">
        <v>1</v>
      </c>
      <c r="B7" s="60" t="s">
        <v>55</v>
      </c>
      <c r="C7" s="23">
        <f>'[1]Gull&amp;Kjós'!$F$8</f>
        <v>7.6923076923076927E-2</v>
      </c>
      <c r="D7" s="33">
        <f>'[1]Gull&amp;Kjós'!$F$20</f>
        <v>0.39583333333333331</v>
      </c>
      <c r="E7" s="24">
        <f>'[1]Gull&amp;Kjós'!$F$33</f>
        <v>0.65306122448979587</v>
      </c>
      <c r="F7" s="23">
        <f>'[1]Gull&amp;Kjós'!$F$46</f>
        <v>0</v>
      </c>
      <c r="G7" s="23">
        <f>'[1]Gull&amp;Kjós'!$F$61</f>
        <v>0</v>
      </c>
      <c r="H7" s="25">
        <f>'[1]Gull&amp;Kjós'!$F$76</f>
        <v>0.1951219512195122</v>
      </c>
      <c r="I7" s="33">
        <f>'[1]Gull&amp;Kjós'!$F$92</f>
        <v>0.37209302325581395</v>
      </c>
      <c r="J7" s="33">
        <f>'[1]Gull&amp;Kjós'!$F$107</f>
        <v>0.45454545454545453</v>
      </c>
      <c r="K7" s="24">
        <f>'[1]Gull&amp;Kjós'!$F$122</f>
        <v>0.69565217391304346</v>
      </c>
      <c r="N7" s="20">
        <f>O7/9</f>
        <v>45.111111111111114</v>
      </c>
      <c r="O7" s="1">
        <f>52+48+49+42+41+41+43+44+46</f>
        <v>406</v>
      </c>
    </row>
    <row r="8" spans="1:16" x14ac:dyDescent="0.25">
      <c r="A8" s="1">
        <v>2</v>
      </c>
      <c r="B8" s="60" t="s">
        <v>56</v>
      </c>
      <c r="C8" s="25">
        <f>'[1]Gull&amp;Kjós'!$F$9</f>
        <v>0.18604651162790697</v>
      </c>
      <c r="D8" s="33">
        <f>'[1]Gull&amp;Kjós'!$F$21</f>
        <v>0.39534883720930231</v>
      </c>
      <c r="E8" s="24">
        <f>'[1]Gull&amp;Kjós'!$F$34</f>
        <v>0.5</v>
      </c>
      <c r="F8" s="23">
        <f>'[1]Gull&amp;Kjós'!$F$47</f>
        <v>7.4999999999999997E-2</v>
      </c>
      <c r="G8" s="23">
        <f>'[1]Gull&amp;Kjós'!$F$62</f>
        <v>2.4390243902439025E-2</v>
      </c>
      <c r="H8" s="33">
        <f>'[1]Gull&amp;Kjós'!$F$77</f>
        <v>0.43243243243243246</v>
      </c>
      <c r="I8" s="24">
        <f>'[1]Gull&amp;Kjós'!$F$93</f>
        <v>0.5</v>
      </c>
      <c r="J8" s="24">
        <f>'[1]Gull&amp;Kjós'!$F$108</f>
        <v>0.60465116279069764</v>
      </c>
      <c r="K8" s="24">
        <f>'[1]Gull&amp;Kjós'!$F$123</f>
        <v>0.53658536585365857</v>
      </c>
      <c r="N8" s="20">
        <f>O8/9</f>
        <v>41.555555555555557</v>
      </c>
      <c r="O8" s="1">
        <f>43+43+40+40+41+37+46+43+41</f>
        <v>374</v>
      </c>
    </row>
    <row r="9" spans="1:16" x14ac:dyDescent="0.25">
      <c r="A9" s="1">
        <v>3</v>
      </c>
      <c r="B9" s="60" t="s">
        <v>57</v>
      </c>
      <c r="C9" s="33">
        <f>'[1]Gull&amp;Kjós'!$F$10</f>
        <v>0.3783783783783784</v>
      </c>
      <c r="D9" s="33">
        <f>'[1]Gull&amp;Kjós'!$F$22</f>
        <v>0.3783783783783784</v>
      </c>
      <c r="E9" s="24">
        <f>'[1]Gull&amp;Kjós'!$F$35</f>
        <v>0.61538461538461542</v>
      </c>
      <c r="F9" s="33">
        <f>'[1]Gull&amp;Kjós'!$F$48</f>
        <v>0.27027027027027029</v>
      </c>
      <c r="G9" s="23">
        <f>'[1]Gull&amp;Kjós'!$F$63</f>
        <v>2.9411764705882353E-2</v>
      </c>
      <c r="H9" s="24">
        <f>'[1]Gull&amp;Kjós'!$F$78</f>
        <v>0.61111111111111116</v>
      </c>
      <c r="I9" s="33">
        <f>'[1]Gull&amp;Kjós'!$F$94</f>
        <v>0.4</v>
      </c>
      <c r="J9" s="32">
        <f>'[1]Gull&amp;Kjós'!$F$109</f>
        <v>0.83333333333333337</v>
      </c>
      <c r="K9" s="32">
        <f>'[1]Gull&amp;Kjós'!$F$124</f>
        <v>0.8</v>
      </c>
      <c r="N9" s="20">
        <f>O9/9</f>
        <v>36.222222222222221</v>
      </c>
      <c r="O9" s="1">
        <f>37+37+39+37+34+36+35+36+35</f>
        <v>326</v>
      </c>
      <c r="P9" s="11" t="s">
        <v>246</v>
      </c>
    </row>
    <row r="10" spans="1:16" x14ac:dyDescent="0.25">
      <c r="A10" s="1">
        <v>4</v>
      </c>
      <c r="B10" s="60" t="s">
        <v>58</v>
      </c>
      <c r="C10" s="24">
        <f>'[1]Gull&amp;Kjós'!$F$11</f>
        <v>0.55172413793103448</v>
      </c>
      <c r="D10" s="32">
        <f>'[1]Gull&amp;Kjós'!$F$23</f>
        <v>0.78787878787878785</v>
      </c>
      <c r="E10" s="24">
        <f>'[1]Gull&amp;Kjós'!$F$36</f>
        <v>0.5757575757575758</v>
      </c>
      <c r="F10" s="33">
        <f>'[1]Gull&amp;Kjós'!$F$49</f>
        <v>0.33333333333333331</v>
      </c>
      <c r="G10" s="23">
        <f>'[1]Gull&amp;Kjós'!$F$64</f>
        <v>5.8823529411764705E-2</v>
      </c>
      <c r="H10" s="24">
        <f>'[1]Gull&amp;Kjós'!$F$79</f>
        <v>0.54285714285714282</v>
      </c>
      <c r="I10" s="24">
        <f>'[1]Gull&amp;Kjós'!$F$95</f>
        <v>0.51282051282051277</v>
      </c>
      <c r="J10" s="33">
        <f>'[1]Gull&amp;Kjós'!$F$110</f>
        <v>0.48717948717948717</v>
      </c>
      <c r="K10" s="24">
        <f>'[1]Gull&amp;Kjós'!$F$125</f>
        <v>0.57894736842105265</v>
      </c>
      <c r="N10" s="20">
        <f>O10/9</f>
        <v>35.444444444444443</v>
      </c>
      <c r="O10" s="1">
        <f>29+33+33+39+34+35+39+39+38</f>
        <v>319</v>
      </c>
      <c r="P10" s="10" t="s">
        <v>247</v>
      </c>
    </row>
    <row r="11" spans="1:16" x14ac:dyDescent="0.25">
      <c r="A11" s="1">
        <v>5</v>
      </c>
      <c r="B11" s="22" t="s">
        <v>59</v>
      </c>
      <c r="C11" s="24">
        <f>'[1]Gull&amp;Kjós'!$F$12</f>
        <v>0.74626865671641796</v>
      </c>
      <c r="D11" s="53"/>
      <c r="E11" s="53"/>
      <c r="F11" s="53"/>
      <c r="G11" s="53"/>
      <c r="H11" s="53"/>
      <c r="I11" s="53"/>
      <c r="J11" s="53"/>
      <c r="K11" s="53"/>
      <c r="N11" s="20">
        <f>O11</f>
        <v>134</v>
      </c>
      <c r="O11" s="1">
        <v>134</v>
      </c>
      <c r="P11" s="2" t="s">
        <v>248</v>
      </c>
    </row>
    <row r="12" spans="1:16" x14ac:dyDescent="0.25">
      <c r="A12" s="1">
        <v>6</v>
      </c>
      <c r="B12" s="60" t="s">
        <v>60</v>
      </c>
      <c r="C12" s="53"/>
      <c r="D12" s="24">
        <f>'[1]Gull&amp;Kjós'!$F$24</f>
        <v>0.61224489795918369</v>
      </c>
      <c r="E12" s="32">
        <f>'[1]Gull&amp;Kjós'!$F$37</f>
        <v>0.78048780487804881</v>
      </c>
      <c r="F12" s="24">
        <f>'[1]Gull&amp;Kjós'!$F$50</f>
        <v>0.5</v>
      </c>
      <c r="G12" s="33">
        <f>'[1]Gull&amp;Kjós'!$F$65</f>
        <v>0.34615384615384615</v>
      </c>
      <c r="H12" s="24">
        <f>'[1]Gull&amp;Kjós'!$F$80</f>
        <v>0.55932203389830504</v>
      </c>
      <c r="I12" s="33">
        <f>'[1]Gull&amp;Kjós'!$F$96</f>
        <v>0.47368421052631576</v>
      </c>
      <c r="J12" s="33">
        <f>'[1]Gull&amp;Kjós'!$F$111</f>
        <v>0.35897435897435898</v>
      </c>
      <c r="K12" s="33">
        <f>'[1]Gull&amp;Kjós'!$F$126</f>
        <v>0.47058823529411764</v>
      </c>
      <c r="N12" s="20">
        <f>O12/8</f>
        <v>45.75</v>
      </c>
      <c r="O12" s="1">
        <f>49+41+54+52+59+38+39+34</f>
        <v>366</v>
      </c>
      <c r="P12" s="9" t="s">
        <v>249</v>
      </c>
    </row>
    <row r="13" spans="1:16" x14ac:dyDescent="0.25">
      <c r="A13" s="1">
        <v>7</v>
      </c>
      <c r="B13" s="22" t="s">
        <v>61</v>
      </c>
      <c r="C13" s="53"/>
      <c r="D13" s="33">
        <f>'[1]Gull&amp;Kjós'!$F$25</f>
        <v>0.46511627906976744</v>
      </c>
      <c r="E13" s="24">
        <f>'[1]Gull&amp;Kjós'!$F$38</f>
        <v>0.70526315789473681</v>
      </c>
      <c r="F13" s="24">
        <f>'[1]Gull&amp;Kjós'!$F$51</f>
        <v>0.58536585365853655</v>
      </c>
      <c r="G13" s="33">
        <f>'[1]Gull&amp;Kjós'!$F$66</f>
        <v>0.38793103448275862</v>
      </c>
      <c r="H13" s="24">
        <f>'[1]Gull&amp;Kjós'!$F$81</f>
        <v>0.5</v>
      </c>
      <c r="I13" s="24">
        <f>'[1]Gull&amp;Kjós'!$F$97</f>
        <v>0.63636363636363635</v>
      </c>
      <c r="J13" s="24">
        <f>'[1]Gull&amp;Kjós'!$F$112</f>
        <v>0.5</v>
      </c>
      <c r="K13" s="24">
        <f>'[1]Gull&amp;Kjós'!$F$127</f>
        <v>0.60550458715596334</v>
      </c>
      <c r="N13" s="20">
        <f>O13/8</f>
        <v>108</v>
      </c>
      <c r="O13" s="1">
        <f>86+95+123+116+130+99+106+109</f>
        <v>864</v>
      </c>
      <c r="P13" s="8" t="s">
        <v>250</v>
      </c>
    </row>
    <row r="14" spans="1:16" x14ac:dyDescent="0.25">
      <c r="A14" s="1">
        <v>8</v>
      </c>
      <c r="B14" s="60" t="s">
        <v>62</v>
      </c>
      <c r="C14" s="33">
        <f>'[1]Gull&amp;Kjós'!$F$13</f>
        <v>0.43421052631578949</v>
      </c>
      <c r="D14" s="25">
        <f>'[1]Gull&amp;Kjós'!$F$26</f>
        <v>0.13953488372093023</v>
      </c>
      <c r="E14" s="33">
        <f>'[1]Gull&amp;Kjós'!$F$39</f>
        <v>0.25301204819277107</v>
      </c>
      <c r="F14" s="25">
        <f>'[1]Gull&amp;Kjós'!$F$52</f>
        <v>0.1076923076923077</v>
      </c>
      <c r="G14" s="23">
        <f>'[1]Gull&amp;Kjós'!$F$67</f>
        <v>5.5555555555555552E-2</v>
      </c>
      <c r="H14" s="24">
        <f>'[1]Gull&amp;Kjós'!$F$82</f>
        <v>0.54929577464788737</v>
      </c>
      <c r="I14" s="25">
        <f>'[1]Gull&amp;Kjós'!$F$98</f>
        <v>0.22580645161290322</v>
      </c>
      <c r="J14" s="24">
        <f>'[1]Gull&amp;Kjós'!$F$113</f>
        <v>0.51851851851851849</v>
      </c>
      <c r="K14" s="32">
        <f>'[1]Gull&amp;Kjós'!$F$128</f>
        <v>0.88235294117647056</v>
      </c>
      <c r="N14" s="20">
        <f>O14/9</f>
        <v>68.888888888888886</v>
      </c>
      <c r="O14" s="1">
        <f>76+86+83+65+72+71+62+54+51</f>
        <v>620</v>
      </c>
      <c r="P14" s="7" t="s">
        <v>29</v>
      </c>
    </row>
    <row r="15" spans="1:16" x14ac:dyDescent="0.25">
      <c r="A15" s="1">
        <v>9</v>
      </c>
      <c r="B15" s="60" t="s">
        <v>63</v>
      </c>
      <c r="C15" s="53"/>
      <c r="D15" s="53"/>
      <c r="E15" s="53"/>
      <c r="F15" s="25">
        <f>'[1]Gull&amp;Kjós'!$F$53</f>
        <v>0.13333333333333333</v>
      </c>
      <c r="G15" s="23">
        <f>'[1]Gull&amp;Kjós'!$F$68</f>
        <v>0</v>
      </c>
      <c r="H15" s="24">
        <f>'[1]Gull&amp;Kjós'!$F$83</f>
        <v>0.73333333333333328</v>
      </c>
      <c r="I15" s="33">
        <f>'[1]Gull&amp;Kjós'!$F$99</f>
        <v>0.42307692307692307</v>
      </c>
      <c r="J15" s="24">
        <f>'[1]Gull&amp;Kjós'!$F$114</f>
        <v>0.61904761904761907</v>
      </c>
      <c r="K15" s="24">
        <f>'[1]Gull&amp;Kjós'!$F$129</f>
        <v>0.63636363636363635</v>
      </c>
      <c r="N15" s="20">
        <f>O15/6</f>
        <v>25.666666666666668</v>
      </c>
      <c r="O15" s="1">
        <f>30+25+30+26+21+22</f>
        <v>154</v>
      </c>
    </row>
    <row r="16" spans="1:16" x14ac:dyDescent="0.25">
      <c r="A16" s="1">
        <v>10</v>
      </c>
      <c r="B16" s="60" t="s">
        <v>64</v>
      </c>
      <c r="C16" s="23">
        <f>'[1]Gull&amp;Kjós'!$F$14</f>
        <v>1.5151515151515152E-2</v>
      </c>
      <c r="D16" s="23">
        <f>'[1]Gull&amp;Kjós'!$F$27</f>
        <v>5.4794520547945202E-2</v>
      </c>
      <c r="E16" s="25">
        <f>'[1]Gull&amp;Kjós'!$F$40</f>
        <v>0.18085106382978725</v>
      </c>
      <c r="F16" s="23">
        <f>'[1]Gull&amp;Kjós'!$F$54</f>
        <v>9.3023255813953487E-2</v>
      </c>
      <c r="G16" s="23">
        <f>'[1]Gull&amp;Kjós'!$F$69</f>
        <v>0</v>
      </c>
      <c r="H16" s="24">
        <f>'[1]Gull&amp;Kjós'!$F$84</f>
        <v>0.65</v>
      </c>
      <c r="I16" s="33">
        <f>'[1]Gull&amp;Kjós'!$F$100</f>
        <v>0.40243902439024393</v>
      </c>
      <c r="J16" s="24">
        <f>'[1]Gull&amp;Kjós'!$F$115</f>
        <v>0.63513513513513509</v>
      </c>
      <c r="K16" s="24">
        <f>'[1]Gull&amp;Kjós'!$F$130</f>
        <v>0.59740259740259738</v>
      </c>
      <c r="N16" s="20">
        <f>O16/9</f>
        <v>68.333333333333329</v>
      </c>
      <c r="O16" s="1">
        <f>66+73+94+43+46+60+82+74+77</f>
        <v>615</v>
      </c>
    </row>
    <row r="17" spans="1:15" x14ac:dyDescent="0.25">
      <c r="A17" s="1">
        <v>11</v>
      </c>
      <c r="B17" s="60" t="s">
        <v>65</v>
      </c>
      <c r="C17" s="53"/>
      <c r="D17" s="53"/>
      <c r="E17" s="53"/>
      <c r="F17" s="23">
        <f>'[1]Gull&amp;Kjós'!$F55</f>
        <v>0</v>
      </c>
      <c r="G17" s="23">
        <f>'[1]Gull&amp;Kjós'!$F$70</f>
        <v>0</v>
      </c>
      <c r="H17" s="33">
        <f>'[1]Gull&amp;Kjós'!$F$85</f>
        <v>0.34090909090909088</v>
      </c>
      <c r="I17" s="33">
        <f>'[1]Gull&amp;Kjós'!$F$101</f>
        <v>0.25</v>
      </c>
      <c r="J17" s="24">
        <f>'[1]Gull&amp;Kjós'!$F$116</f>
        <v>0.6</v>
      </c>
      <c r="K17" s="33">
        <f>'[1]Gull&amp;Kjós'!$F$131</f>
        <v>0.29545454545454547</v>
      </c>
      <c r="N17" s="20">
        <f>O17/6</f>
        <v>44.166666666666664</v>
      </c>
      <c r="O17" s="1">
        <f>48+44+44+40+45+44</f>
        <v>265</v>
      </c>
    </row>
    <row r="18" spans="1:15" x14ac:dyDescent="0.25">
      <c r="A18" s="1">
        <v>12</v>
      </c>
      <c r="B18" s="60" t="s">
        <v>66</v>
      </c>
      <c r="C18" s="23">
        <f>'[1]Gull&amp;Kjós'!$F$15</f>
        <v>0</v>
      </c>
      <c r="D18" s="23">
        <f>'[1]Gull&amp;Kjós'!$F28</f>
        <v>0</v>
      </c>
      <c r="E18" s="33">
        <f>'[1]Gull&amp;Kjós'!$F41</f>
        <v>0.41666666666666669</v>
      </c>
      <c r="F18" s="25">
        <f>'[1]Gull&amp;Kjós'!$F$56</f>
        <v>0.21428571428571427</v>
      </c>
      <c r="G18" s="23">
        <f>'[1]Gull&amp;Kjós'!$F$71</f>
        <v>0</v>
      </c>
      <c r="H18" s="33">
        <f>'[1]Gull&amp;Kjós'!$F$86</f>
        <v>0.33333333333333331</v>
      </c>
      <c r="I18" s="25">
        <f>'[1]Gull&amp;Kjós'!$F$102</f>
        <v>0.2</v>
      </c>
      <c r="J18" s="24">
        <f>'[1]Gull&amp;Kjós'!$F$117</f>
        <v>0.54545454545454541</v>
      </c>
      <c r="K18" s="25">
        <f>'[1]Gull&amp;Kjós'!$F$132</f>
        <v>0.14285714285714285</v>
      </c>
      <c r="N18" s="20">
        <f>O18/9</f>
        <v>11.555555555555555</v>
      </c>
      <c r="O18" s="1">
        <f>11+9+12+14+11+12+10+11+14</f>
        <v>104</v>
      </c>
    </row>
    <row r="19" spans="1:15" ht="15.75" thickBot="1" x14ac:dyDescent="0.3">
      <c r="A19" s="1">
        <v>13</v>
      </c>
      <c r="B19" s="61" t="s">
        <v>67</v>
      </c>
      <c r="C19" s="29">
        <f>'[1]Gull&amp;Kjós'!$F$16</f>
        <v>0</v>
      </c>
      <c r="D19" s="29">
        <f>'[1]Gull&amp;Kjós'!$F$29</f>
        <v>6.8965517241379309E-2</v>
      </c>
      <c r="E19" s="29">
        <f>'[1]Gull&amp;Kjós'!$F$42</f>
        <v>6.6666666666666666E-2</v>
      </c>
      <c r="F19" s="29">
        <f>'[1]Gull&amp;Kjós'!$F$57</f>
        <v>0</v>
      </c>
      <c r="G19" s="29">
        <f>'[1]Gull&amp;Kjós'!$F$72</f>
        <v>0</v>
      </c>
      <c r="H19" s="37">
        <f>'[1]Gull&amp;Kjós'!$F$87</f>
        <v>0.40909090909090912</v>
      </c>
      <c r="I19" s="29">
        <f>'[1]Gull&amp;Kjós'!$F$103</f>
        <v>0</v>
      </c>
      <c r="J19" s="31">
        <f>'[1]Gull&amp;Kjós'!$F$118</f>
        <v>0.19047619047619047</v>
      </c>
      <c r="K19" s="37">
        <f>'[1]Gull&amp;Kjós'!$F$133</f>
        <v>0.34090909090909088</v>
      </c>
      <c r="N19" s="20">
        <f>O19/9</f>
        <v>38.111111111111114</v>
      </c>
      <c r="O19" s="1">
        <f>30+29+30+38+42+44+44+42+44</f>
        <v>343</v>
      </c>
    </row>
    <row r="20" spans="1:15" x14ac:dyDescent="0.25">
      <c r="C20" s="6"/>
    </row>
    <row r="21" spans="1:15" s="4" customFormat="1" x14ac:dyDescent="0.25">
      <c r="A21" s="5"/>
      <c r="B21" s="4" t="s">
        <v>11</v>
      </c>
      <c r="C21" s="51">
        <f>'[1]Gull&amp;Kjós'!$F$17</f>
        <v>0.3682008368200837</v>
      </c>
      <c r="D21" s="51">
        <f>'[1]Gull&amp;Kjós'!$F$30</f>
        <v>0.33265720081135902</v>
      </c>
      <c r="E21" s="51">
        <f>'[1]Gull&amp;Kjós'!$F$43</f>
        <v>0.4631782945736434</v>
      </c>
      <c r="F21" s="51">
        <f>'[1]Gull&amp;Kjós'!$F$58</f>
        <v>0.24956369982547993</v>
      </c>
      <c r="G21" s="50">
        <f>'[1]Gull&amp;Kjós'!$F$73</f>
        <v>0.12724014336917563</v>
      </c>
      <c r="H21" s="52">
        <f>'[1]Gull&amp;Kjós'!$F$88</f>
        <v>0.5008347245409015</v>
      </c>
      <c r="I21" s="51">
        <f>'[1]Gull&amp;Kjós'!$F$104</f>
        <v>0.3971631205673759</v>
      </c>
      <c r="J21" s="52">
        <f>'[1]Gull&amp;Kjós'!$F$119</f>
        <v>0.52527075812274371</v>
      </c>
      <c r="K21" s="52">
        <f>'[1]Gull&amp;Kjós'!$F$134</f>
        <v>0.57837837837837835</v>
      </c>
      <c r="N21" s="20">
        <f>O21/9</f>
        <v>543.33333333333337</v>
      </c>
      <c r="O21" s="1">
        <f>478+493+516+573+558+599+564+554+555</f>
        <v>4890</v>
      </c>
    </row>
    <row r="22" spans="1:15" x14ac:dyDescent="0.25">
      <c r="B22" s="4" t="s">
        <v>193</v>
      </c>
      <c r="C22" s="50">
        <v>0.19900000000000001</v>
      </c>
      <c r="D22" s="50">
        <v>0.248</v>
      </c>
      <c r="E22" s="51">
        <v>0.312</v>
      </c>
      <c r="F22" s="51">
        <v>0.308</v>
      </c>
      <c r="G22" s="51">
        <v>0.26200000000000001</v>
      </c>
      <c r="I22" s="51">
        <v>0.48499999999999999</v>
      </c>
      <c r="J22" s="52">
        <v>0.53800000000000003</v>
      </c>
      <c r="K22" s="70">
        <v>0.53100000000000003</v>
      </c>
    </row>
    <row r="23" spans="1:15" x14ac:dyDescent="0.25">
      <c r="B23" t="s">
        <v>213</v>
      </c>
      <c r="C23" s="65"/>
      <c r="D23" s="65"/>
      <c r="E23" s="65"/>
      <c r="F23" s="65"/>
      <c r="G23" s="65"/>
      <c r="I23" s="65"/>
      <c r="J23" s="65"/>
      <c r="K23" s="73"/>
    </row>
    <row r="24" spans="1:15" x14ac:dyDescent="0.25">
      <c r="B24" t="s">
        <v>215</v>
      </c>
      <c r="C24" s="65"/>
      <c r="D24" s="65"/>
      <c r="E24" s="65"/>
      <c r="F24" s="65"/>
      <c r="G24" s="65"/>
      <c r="I24" s="65"/>
      <c r="J24" s="65"/>
      <c r="K24" s="73"/>
    </row>
    <row r="25" spans="1:15" x14ac:dyDescent="0.25">
      <c r="B25" t="s">
        <v>216</v>
      </c>
      <c r="C25" s="65"/>
      <c r="D25" s="65"/>
      <c r="E25" s="65"/>
      <c r="F25" s="65"/>
      <c r="G25" s="65"/>
      <c r="I25" s="65"/>
      <c r="J25" s="65"/>
      <c r="K25" s="73"/>
    </row>
    <row r="26" spans="1:15" x14ac:dyDescent="0.25">
      <c r="B26" t="s">
        <v>217</v>
      </c>
      <c r="C26" s="65"/>
      <c r="D26" s="65"/>
      <c r="E26" s="65"/>
      <c r="F26" s="65"/>
      <c r="G26" s="65"/>
      <c r="I26" s="65"/>
      <c r="J26" s="65"/>
      <c r="K26" s="73"/>
    </row>
    <row r="29" spans="1:15" ht="18.75" x14ac:dyDescent="0.3">
      <c r="B29" s="75" t="s">
        <v>81</v>
      </c>
      <c r="E29" s="3"/>
      <c r="L29" s="12"/>
      <c r="N29" s="5" t="s">
        <v>26</v>
      </c>
      <c r="O29" s="5" t="s">
        <v>189</v>
      </c>
    </row>
    <row r="30" spans="1:15" s="4" customFormat="1" ht="15.75" thickBot="1" x14ac:dyDescent="0.3">
      <c r="A30" s="5"/>
      <c r="C30" s="27">
        <v>1874</v>
      </c>
      <c r="D30" s="27">
        <v>1881</v>
      </c>
      <c r="E30" s="28">
        <v>1886</v>
      </c>
      <c r="F30" s="28">
        <v>1892</v>
      </c>
      <c r="G30" s="28">
        <v>1894</v>
      </c>
      <c r="H30" s="28">
        <v>1900</v>
      </c>
      <c r="I30" s="28">
        <v>1902</v>
      </c>
      <c r="J30" s="28">
        <v>1903</v>
      </c>
      <c r="N30" s="5" t="s">
        <v>27</v>
      </c>
      <c r="O30" s="5" t="s">
        <v>190</v>
      </c>
    </row>
    <row r="31" spans="1:15" x14ac:dyDescent="0.25">
      <c r="A31" s="1">
        <v>1</v>
      </c>
      <c r="B31" s="60" t="s">
        <v>69</v>
      </c>
      <c r="C31" s="23">
        <f>[1]Árnes!$F$8</f>
        <v>0</v>
      </c>
      <c r="D31" s="23">
        <f>[1]Árnes!$F$25</f>
        <v>0</v>
      </c>
      <c r="E31" s="23">
        <f>[1]Árnes!$F$42</f>
        <v>0</v>
      </c>
      <c r="F31" s="23">
        <f>[1]Árnes!$F$59</f>
        <v>0</v>
      </c>
      <c r="G31" s="23">
        <f>[1]Árnes!$F$76</f>
        <v>0</v>
      </c>
      <c r="H31" s="25">
        <f>[1]Árnes!$F$93</f>
        <v>0.15384615384615385</v>
      </c>
      <c r="I31" s="23">
        <f>[1]Árnes!$F$111</f>
        <v>0</v>
      </c>
      <c r="J31" s="23">
        <f>[1]Árnes!$F$129</f>
        <v>0</v>
      </c>
      <c r="N31" s="20">
        <f>O31/8</f>
        <v>12.625</v>
      </c>
      <c r="O31" s="1">
        <f>16+10+13+12+11+13+13+13</f>
        <v>101</v>
      </c>
    </row>
    <row r="32" spans="1:15" x14ac:dyDescent="0.25">
      <c r="A32" s="1">
        <v>2</v>
      </c>
      <c r="B32" s="60" t="s">
        <v>70</v>
      </c>
      <c r="C32" s="23">
        <f>[1]Árnes!$F$9</f>
        <v>0</v>
      </c>
      <c r="D32" s="25">
        <f>[1]Árnes!$F$26</f>
        <v>0.11475409836065574</v>
      </c>
      <c r="E32" s="25">
        <f>[1]Árnes!$F$43</f>
        <v>0.19696969696969696</v>
      </c>
      <c r="F32" s="33">
        <f>[1]Árnes!$F$60</f>
        <v>0.38571428571428573</v>
      </c>
      <c r="G32" s="25">
        <f>[1]Árnes!$F$77</f>
        <v>0.23529411764705882</v>
      </c>
      <c r="H32" s="24">
        <f>[1]Árnes!$F$94</f>
        <v>0.54666666666666663</v>
      </c>
      <c r="I32" s="24">
        <f>[1]Árnes!$F$112</f>
        <v>0.69565217391304346</v>
      </c>
      <c r="J32" s="24">
        <f>[1]Árnes!$F$130</f>
        <v>0.71830985915492962</v>
      </c>
      <c r="N32" s="20">
        <f>O32/8</f>
        <v>68.125</v>
      </c>
      <c r="O32" s="1">
        <f>65+61+66+70+68+75+69+71</f>
        <v>545</v>
      </c>
    </row>
    <row r="33" spans="1:16" x14ac:dyDescent="0.25">
      <c r="A33" s="1">
        <v>3</v>
      </c>
      <c r="B33" s="60" t="s">
        <v>71</v>
      </c>
      <c r="C33" s="23">
        <f>[1]Árnes!$F$10</f>
        <v>0</v>
      </c>
      <c r="D33" s="23">
        <f>[1]Árnes!$F$27</f>
        <v>0</v>
      </c>
      <c r="E33" s="24">
        <f>[1]Árnes!$F$44</f>
        <v>0.5</v>
      </c>
      <c r="F33" s="33">
        <f>[1]Árnes!$F$61</f>
        <v>0.26666666666666666</v>
      </c>
      <c r="G33" s="33">
        <f>[1]Árnes!$F$78</f>
        <v>0.30769230769230771</v>
      </c>
      <c r="H33" s="32">
        <f>[1]Árnes!$F$95</f>
        <v>0.81818181818181823</v>
      </c>
      <c r="I33" s="32">
        <f>[1]Árnes!$F$113</f>
        <v>0.81818181818181823</v>
      </c>
      <c r="J33" s="24">
        <f>[1]Árnes!$F$131</f>
        <v>0.69230769230769229</v>
      </c>
      <c r="N33" s="20">
        <f>O33/8</f>
        <v>12.625</v>
      </c>
      <c r="O33" s="1">
        <f>13+13+12+15+13+11+11+13</f>
        <v>101</v>
      </c>
      <c r="P33" s="11" t="s">
        <v>246</v>
      </c>
    </row>
    <row r="34" spans="1:16" x14ac:dyDescent="0.25">
      <c r="A34" s="1">
        <v>4</v>
      </c>
      <c r="B34" s="60" t="s">
        <v>72</v>
      </c>
      <c r="C34" s="23">
        <f>[1]Árnes!$F$11</f>
        <v>0</v>
      </c>
      <c r="D34" s="25">
        <f>[1]Árnes!$F$28</f>
        <v>0.13333333333333333</v>
      </c>
      <c r="E34" s="25">
        <f>[1]Árnes!$F$45</f>
        <v>0.21052631578947367</v>
      </c>
      <c r="F34" s="33">
        <f>[1]Árnes!$F$62</f>
        <v>0.29411764705882354</v>
      </c>
      <c r="G34" s="33">
        <f>[1]Árnes!$F$79</f>
        <v>0.27777777777777779</v>
      </c>
      <c r="H34" s="23">
        <f>[1]Árnes!$F$96</f>
        <v>5.8823529411764705E-2</v>
      </c>
      <c r="I34" s="25">
        <f>[1]Árnes!$F$114</f>
        <v>0.2</v>
      </c>
      <c r="J34" s="25">
        <f>[1]Árnes!$F$132</f>
        <v>0.21428571428571427</v>
      </c>
      <c r="N34" s="20">
        <f t="shared" ref="N34:N44" si="0">O34/8</f>
        <v>16.25</v>
      </c>
      <c r="O34" s="1">
        <f>15+15+19+17+18+17+15+14</f>
        <v>130</v>
      </c>
      <c r="P34" s="10" t="s">
        <v>247</v>
      </c>
    </row>
    <row r="35" spans="1:16" x14ac:dyDescent="0.25">
      <c r="A35" s="1">
        <v>5</v>
      </c>
      <c r="B35" s="60" t="s">
        <v>73</v>
      </c>
      <c r="C35" s="23">
        <f>[1]Árnes!$F$12</f>
        <v>4.3478260869565216E-2</v>
      </c>
      <c r="D35" s="25">
        <f>[1]Árnes!$F$29</f>
        <v>0.1044776119402985</v>
      </c>
      <c r="E35" s="33">
        <f>[1]Árnes!$F$46</f>
        <v>0.33333333333333331</v>
      </c>
      <c r="F35" s="33">
        <f>[1]Árnes!$F$63</f>
        <v>0.25675675675675674</v>
      </c>
      <c r="G35" s="25">
        <f>[1]Árnes!$F$80</f>
        <v>0.22535211267605634</v>
      </c>
      <c r="H35" s="25">
        <f>[1]Árnes!$F$97</f>
        <v>0.22535211267605634</v>
      </c>
      <c r="I35" s="24">
        <f>[1]Árnes!$F$115</f>
        <v>0.59420289855072461</v>
      </c>
      <c r="J35" s="24">
        <f>[1]Árnes!$F$133</f>
        <v>0.6428571428571429</v>
      </c>
      <c r="N35" s="20">
        <f t="shared" si="0"/>
        <v>69.625</v>
      </c>
      <c r="O35" s="1">
        <f>69+67+66+74+71+71+69+70</f>
        <v>557</v>
      </c>
      <c r="P35" s="2" t="s">
        <v>248</v>
      </c>
    </row>
    <row r="36" spans="1:16" x14ac:dyDescent="0.25">
      <c r="A36" s="1">
        <v>6</v>
      </c>
      <c r="B36" s="60" t="s">
        <v>74</v>
      </c>
      <c r="C36" s="23">
        <f>[1]Árnes!$F$13</f>
        <v>4.6153846153846156E-2</v>
      </c>
      <c r="D36" s="23">
        <f>[1]Árnes!$F$30</f>
        <v>0</v>
      </c>
      <c r="E36" s="23">
        <f>[1]Árnes!$F$47</f>
        <v>1.4492753623188406E-2</v>
      </c>
      <c r="F36" s="23">
        <f>[1]Árnes!$F$64</f>
        <v>4.8387096774193547E-2</v>
      </c>
      <c r="G36" s="25">
        <f>[1]Árnes!$F$81</f>
        <v>0.19672131147540983</v>
      </c>
      <c r="H36" s="25">
        <f>[1]Árnes!$F$98</f>
        <v>0.11428571428571428</v>
      </c>
      <c r="I36" s="33">
        <f>[1]Árnes!$F$116</f>
        <v>0.25</v>
      </c>
      <c r="J36" s="33">
        <f>[1]Árnes!$F$134</f>
        <v>0.30158730158730157</v>
      </c>
      <c r="N36" s="20">
        <f t="shared" si="0"/>
        <v>62.875</v>
      </c>
      <c r="O36" s="1">
        <f>65+49+69+62+61+70+64+63</f>
        <v>503</v>
      </c>
      <c r="P36" s="9" t="s">
        <v>249</v>
      </c>
    </row>
    <row r="37" spans="1:16" x14ac:dyDescent="0.25">
      <c r="A37" s="1">
        <v>7</v>
      </c>
      <c r="B37" s="60" t="s">
        <v>75</v>
      </c>
      <c r="C37" s="25">
        <f>[1]Árnes!$F$14</f>
        <v>0.20370370370370369</v>
      </c>
      <c r="D37" s="25">
        <f>[1]Árnes!$F$31</f>
        <v>0.19230769230769232</v>
      </c>
      <c r="E37" s="25">
        <f>[1]Árnes!$F$48</f>
        <v>0.16071428571428573</v>
      </c>
      <c r="F37" s="25">
        <f>[1]Árnes!$F$65</f>
        <v>0.22222222222222221</v>
      </c>
      <c r="G37" s="33">
        <f>[1]Árnes!$F$82</f>
        <v>0.45098039215686275</v>
      </c>
      <c r="H37" s="33">
        <f>[1]Árnes!$F$99</f>
        <v>0.38181818181818183</v>
      </c>
      <c r="I37" s="33">
        <f>[1]Árnes!$F$117</f>
        <v>0.48148148148148145</v>
      </c>
      <c r="J37" s="24">
        <f>[1]Árnes!$F$135</f>
        <v>0.55555555555555558</v>
      </c>
      <c r="N37" s="20">
        <f t="shared" si="0"/>
        <v>52.625</v>
      </c>
      <c r="O37" s="1">
        <f>54+52+56+45+51+55+54+54</f>
        <v>421</v>
      </c>
      <c r="P37" s="8" t="s">
        <v>250</v>
      </c>
    </row>
    <row r="38" spans="1:16" x14ac:dyDescent="0.25">
      <c r="A38" s="1">
        <v>8</v>
      </c>
      <c r="B38" s="60" t="s">
        <v>76</v>
      </c>
      <c r="C38" s="23">
        <f>[1]Árnes!$F$15</f>
        <v>7.1428571428571425E-2</v>
      </c>
      <c r="D38" s="33">
        <f>[1]Árnes!$F$32</f>
        <v>0.29032258064516131</v>
      </c>
      <c r="E38" s="23">
        <f>[1]Árnes!$F$49</f>
        <v>6.4516129032258063E-2</v>
      </c>
      <c r="F38" s="33">
        <f>[1]Árnes!$F$66</f>
        <v>0.30769230769230771</v>
      </c>
      <c r="G38" s="33">
        <f>[1]Árnes!$F$83</f>
        <v>0.36</v>
      </c>
      <c r="H38" s="33">
        <f>[1]Árnes!$F$100</f>
        <v>0.44444444444444442</v>
      </c>
      <c r="I38" s="24">
        <f>[1]Árnes!$F$118</f>
        <v>0.66666666666666663</v>
      </c>
      <c r="J38" s="32">
        <f>[1]Árnes!$F$136</f>
        <v>0.7857142857142857</v>
      </c>
      <c r="N38" s="20">
        <f t="shared" si="0"/>
        <v>27.875</v>
      </c>
      <c r="O38" s="1">
        <f>28+31+31+26+25+27+27+28</f>
        <v>223</v>
      </c>
      <c r="P38" s="7" t="s">
        <v>29</v>
      </c>
    </row>
    <row r="39" spans="1:16" x14ac:dyDescent="0.25">
      <c r="A39" s="1">
        <v>9</v>
      </c>
      <c r="B39" s="60" t="s">
        <v>77</v>
      </c>
      <c r="C39" s="23">
        <f>[1]Árnes!$F$16</f>
        <v>3.5714285714285712E-2</v>
      </c>
      <c r="D39" s="23">
        <f>[1]Árnes!$F$33</f>
        <v>9.0909090909090912E-2</v>
      </c>
      <c r="E39" s="23">
        <f>[1]Árnes!$F$50</f>
        <v>2.9411764705882353E-2</v>
      </c>
      <c r="F39" s="25">
        <f>[1]Árnes!$F$67</f>
        <v>0.10256410256410256</v>
      </c>
      <c r="G39" s="25">
        <f>[1]Árnes!$F$84</f>
        <v>0.23076923076923078</v>
      </c>
      <c r="H39" s="33">
        <f>[1]Árnes!$F$101</f>
        <v>0.26470588235294118</v>
      </c>
      <c r="I39" s="24">
        <f>[1]Árnes!$F$119</f>
        <v>0.5714285714285714</v>
      </c>
      <c r="J39" s="24">
        <f>[1]Árnes!$F$137</f>
        <v>0.625</v>
      </c>
      <c r="N39" s="20">
        <f t="shared" si="0"/>
        <v>34.25</v>
      </c>
      <c r="O39" s="1">
        <f>28+33+34+39+39+34+35+32</f>
        <v>274</v>
      </c>
    </row>
    <row r="40" spans="1:16" x14ac:dyDescent="0.25">
      <c r="A40" s="1">
        <v>10</v>
      </c>
      <c r="B40" s="60" t="s">
        <v>78</v>
      </c>
      <c r="C40" s="33">
        <f>[1]Árnes!$F$17</f>
        <v>0.25</v>
      </c>
      <c r="D40" s="25">
        <f>[1]Árnes!$F$34</f>
        <v>0.13636363636363635</v>
      </c>
      <c r="E40" s="33">
        <f>[1]Árnes!$F$51</f>
        <v>0.34090909090909088</v>
      </c>
      <c r="F40" s="33">
        <f>[1]Árnes!$F$68</f>
        <v>0.40540540540540543</v>
      </c>
      <c r="G40" s="33">
        <f>[1]Árnes!$F$85</f>
        <v>0.36842105263157893</v>
      </c>
      <c r="H40" s="33">
        <f>[1]Árnes!$F$102</f>
        <v>0.47499999999999998</v>
      </c>
      <c r="I40" s="33">
        <f>[1]Árnes!$F$120</f>
        <v>0.35</v>
      </c>
      <c r="J40" s="33">
        <f>[1]Árnes!$F$138</f>
        <v>0.40476190476190477</v>
      </c>
      <c r="N40" s="20">
        <f t="shared" si="0"/>
        <v>41.125</v>
      </c>
      <c r="O40" s="1">
        <f>44+44+44+37+38+40+40+42</f>
        <v>329</v>
      </c>
    </row>
    <row r="41" spans="1:16" x14ac:dyDescent="0.25">
      <c r="A41" s="1">
        <v>11</v>
      </c>
      <c r="B41" s="60" t="s">
        <v>79</v>
      </c>
      <c r="C41" s="23">
        <f>[1]Árnes!$F$18</f>
        <v>6.9767441860465115E-2</v>
      </c>
      <c r="D41" s="23">
        <f>[1]Árnes!$F$35</f>
        <v>4.1666666666666664E-2</v>
      </c>
      <c r="E41" s="25">
        <f>[1]Árnes!$F$52</f>
        <v>0.14285714285714285</v>
      </c>
      <c r="F41" s="25">
        <f>[1]Árnes!$F$69</f>
        <v>0.16666666666666666</v>
      </c>
      <c r="G41" s="25">
        <f>[1]Árnes!$F$86</f>
        <v>0.14634146341463414</v>
      </c>
      <c r="H41" s="33">
        <f>[1]Árnes!$F$103</f>
        <v>0.37777777777777777</v>
      </c>
      <c r="I41" s="33">
        <f>[1]Árnes!$F$121</f>
        <v>0.39583333333333331</v>
      </c>
      <c r="J41" s="24">
        <f>[1]Árnes!$F$139</f>
        <v>0.52272727272727271</v>
      </c>
      <c r="N41" s="20">
        <f t="shared" si="0"/>
        <v>45</v>
      </c>
      <c r="O41" s="1">
        <f>43+48+49+42+41+45+48+44</f>
        <v>360</v>
      </c>
    </row>
    <row r="42" spans="1:16" x14ac:dyDescent="0.25">
      <c r="A42" s="1">
        <v>12</v>
      </c>
      <c r="B42" s="22" t="s">
        <v>211</v>
      </c>
      <c r="C42" s="33">
        <f>[1]Árnes!$F$19</f>
        <v>0.3611111111111111</v>
      </c>
      <c r="D42" s="25">
        <f>[1]Árnes!$F$36</f>
        <v>0.15</v>
      </c>
      <c r="E42" s="25">
        <f>[1]Árnes!$F$53</f>
        <v>0.20512820512820512</v>
      </c>
      <c r="F42" s="24">
        <f>[1]Árnes!$F$70</f>
        <v>0.68888888888888888</v>
      </c>
      <c r="G42" s="24">
        <f>[1]Árnes!$F$87</f>
        <v>0.70731707317073167</v>
      </c>
      <c r="H42" s="24">
        <f>[1]Árnes!$F$104</f>
        <v>0.73170731707317072</v>
      </c>
      <c r="I42" s="24">
        <f>[1]Árnes!$F$122</f>
        <v>0.6</v>
      </c>
      <c r="J42" s="24">
        <f>[1]Árnes!$F$140</f>
        <v>0.60526315789473684</v>
      </c>
      <c r="N42" s="20">
        <f t="shared" si="0"/>
        <v>40</v>
      </c>
      <c r="O42" s="1">
        <f>36+40+39+45+41+41+40+38</f>
        <v>320</v>
      </c>
    </row>
    <row r="43" spans="1:16" x14ac:dyDescent="0.25">
      <c r="A43" s="1">
        <v>13</v>
      </c>
      <c r="B43" s="22" t="s">
        <v>212</v>
      </c>
      <c r="C43" s="23">
        <f>[1]Árnes!$F$20</f>
        <v>8.3333333333333329E-2</v>
      </c>
      <c r="D43" s="23">
        <f>[1]Árnes!$F$37</f>
        <v>7.1428571428571425E-2</v>
      </c>
      <c r="E43" s="33">
        <f>[1]Árnes!$F$54</f>
        <v>0.43333333333333335</v>
      </c>
      <c r="F43" s="33">
        <f>[1]Árnes!$F$71</f>
        <v>0.33333333333333331</v>
      </c>
      <c r="G43" s="24">
        <f>[1]Árnes!$F$88</f>
        <v>0.55000000000000004</v>
      </c>
      <c r="H43" s="32">
        <f>[1]Árnes!$F$105</f>
        <v>0.8125</v>
      </c>
      <c r="I43" s="24">
        <f>[1]Árnes!$F$123</f>
        <v>0.7</v>
      </c>
      <c r="J43" s="32">
        <f>[1]Árnes!$F$141</f>
        <v>0.83333333333333337</v>
      </c>
      <c r="N43" s="20">
        <f t="shared" si="0"/>
        <v>33.5</v>
      </c>
      <c r="O43" s="1">
        <f>36+28+30+36+40+32+30+36</f>
        <v>268</v>
      </c>
    </row>
    <row r="44" spans="1:16" x14ac:dyDescent="0.25">
      <c r="A44" s="1">
        <v>14</v>
      </c>
      <c r="B44" s="60" t="s">
        <v>80</v>
      </c>
      <c r="C44" s="23">
        <f>[1]Árnes!$F$21</f>
        <v>1.020408163265306E-2</v>
      </c>
      <c r="D44" s="23">
        <f>[1]Árnes!$F$38</f>
        <v>3.7037037037037035E-2</v>
      </c>
      <c r="E44" s="23">
        <f>[1]Árnes!$F$55</f>
        <v>7.8651685393258425E-2</v>
      </c>
      <c r="F44" s="33">
        <f>[1]Árnes!$F$72</f>
        <v>0.2857142857142857</v>
      </c>
      <c r="G44" s="25">
        <f>[1]Árnes!$F$89</f>
        <v>0.19480519480519481</v>
      </c>
      <c r="H44" s="33">
        <f>[1]Árnes!$F$106</f>
        <v>0.375</v>
      </c>
      <c r="I44" s="24">
        <f>[1]Árnes!$F$124</f>
        <v>0.54545454545454541</v>
      </c>
      <c r="J44" s="24">
        <f>[1]Árnes!$F$142</f>
        <v>0.52238805970149249</v>
      </c>
      <c r="N44" s="20">
        <f t="shared" si="0"/>
        <v>78.25</v>
      </c>
      <c r="O44" s="1">
        <f>98+81+89+84+77+64+66+67</f>
        <v>626</v>
      </c>
    </row>
    <row r="45" spans="1:16" ht="15.75" thickBot="1" x14ac:dyDescent="0.3">
      <c r="A45" s="1">
        <v>15</v>
      </c>
      <c r="B45" s="61" t="s">
        <v>68</v>
      </c>
      <c r="C45" s="57"/>
      <c r="D45" s="57"/>
      <c r="E45" s="57"/>
      <c r="F45" s="57"/>
      <c r="G45" s="57"/>
      <c r="H45" s="30">
        <f>[1]Árnes!$F$107</f>
        <v>0.61290322580645162</v>
      </c>
      <c r="I45" s="30">
        <f>[1]Árnes!$F$125</f>
        <v>0.578125</v>
      </c>
      <c r="J45" s="30">
        <f>[1]Árnes!$F$143</f>
        <v>0.57692307692307687</v>
      </c>
      <c r="N45" s="20">
        <f>O45/3</f>
        <v>59.333333333333336</v>
      </c>
      <c r="O45" s="1">
        <f>62+64+52</f>
        <v>178</v>
      </c>
    </row>
    <row r="46" spans="1:16" x14ac:dyDescent="0.25">
      <c r="C46" s="6"/>
    </row>
    <row r="47" spans="1:16" s="4" customFormat="1" x14ac:dyDescent="0.25">
      <c r="A47" s="5"/>
      <c r="B47" s="4" t="s">
        <v>11</v>
      </c>
      <c r="C47" s="49">
        <f>[1]Árnes!$F$22</f>
        <v>8.3606557377049182E-2</v>
      </c>
      <c r="D47" s="50">
        <f>[1]Árnes!$F$39</f>
        <v>9.9650349650349648E-2</v>
      </c>
      <c r="E47" s="50">
        <f>[1]Árnes!$F$56</f>
        <v>0.17504051863857376</v>
      </c>
      <c r="F47" s="51">
        <f>[1]Árnes!$F$73</f>
        <v>0.27980132450331124</v>
      </c>
      <c r="G47" s="51">
        <f>[1]Árnes!$F$90</f>
        <v>0.30303030303030304</v>
      </c>
      <c r="H47" s="51">
        <f>[1]Árnes!$F$108</f>
        <v>0.41552511415525112</v>
      </c>
      <c r="I47" s="52">
        <f>[1]Árnes!$F$126</f>
        <v>0.51472868217054268</v>
      </c>
      <c r="J47" s="52">
        <f>[1]Árnes!$F$144</f>
        <v>0.56043956043956045</v>
      </c>
      <c r="N47" s="20">
        <f>O47/8</f>
        <v>617</v>
      </c>
      <c r="O47" s="1">
        <f>610+572+617+604+594+657+645+637</f>
        <v>4936</v>
      </c>
    </row>
    <row r="48" spans="1:16" x14ac:dyDescent="0.25">
      <c r="B48" s="4" t="s">
        <v>193</v>
      </c>
      <c r="C48" s="50">
        <v>0.19900000000000001</v>
      </c>
      <c r="D48" s="50">
        <v>0.248</v>
      </c>
      <c r="E48" s="51">
        <v>0.312</v>
      </c>
      <c r="F48" s="51">
        <v>0.308</v>
      </c>
      <c r="G48" s="51">
        <v>0.26200000000000001</v>
      </c>
      <c r="H48" s="51">
        <v>0.48499999999999999</v>
      </c>
      <c r="I48" s="52">
        <v>0.53800000000000003</v>
      </c>
      <c r="J48" s="70">
        <v>0.53100000000000003</v>
      </c>
    </row>
    <row r="49" spans="1:16" x14ac:dyDescent="0.25">
      <c r="B49" s="13" t="s">
        <v>210</v>
      </c>
    </row>
    <row r="50" spans="1:16" x14ac:dyDescent="0.25">
      <c r="B50" t="s">
        <v>218</v>
      </c>
    </row>
    <row r="51" spans="1:16" x14ac:dyDescent="0.25">
      <c r="B51" t="s">
        <v>244</v>
      </c>
    </row>
    <row r="54" spans="1:16" ht="18.75" x14ac:dyDescent="0.3">
      <c r="B54" s="75" t="s">
        <v>2</v>
      </c>
      <c r="E54" s="3"/>
      <c r="L54" s="12"/>
      <c r="N54" s="5" t="s">
        <v>26</v>
      </c>
      <c r="O54" s="5" t="s">
        <v>189</v>
      </c>
    </row>
    <row r="55" spans="1:16" s="4" customFormat="1" ht="15.75" thickBot="1" x14ac:dyDescent="0.3">
      <c r="A55" s="5"/>
      <c r="C55" s="27">
        <v>1874</v>
      </c>
      <c r="D55" s="27">
        <v>1880</v>
      </c>
      <c r="E55" s="28">
        <v>1886</v>
      </c>
      <c r="F55" s="28">
        <v>1891</v>
      </c>
      <c r="G55" s="28">
        <v>1892</v>
      </c>
      <c r="H55" s="28">
        <v>1894</v>
      </c>
      <c r="I55" s="28">
        <v>1899</v>
      </c>
      <c r="J55" s="28">
        <v>1900</v>
      </c>
      <c r="K55" s="28">
        <v>1902</v>
      </c>
      <c r="L55" s="28">
        <v>1903</v>
      </c>
      <c r="N55" s="5" t="s">
        <v>27</v>
      </c>
      <c r="O55" s="5" t="s">
        <v>190</v>
      </c>
    </row>
    <row r="56" spans="1:16" x14ac:dyDescent="0.25">
      <c r="A56" s="1">
        <v>1</v>
      </c>
      <c r="B56" s="60" t="s">
        <v>3</v>
      </c>
      <c r="C56" s="19"/>
      <c r="D56" s="19"/>
      <c r="E56" s="21"/>
      <c r="F56" s="19"/>
      <c r="G56" s="19"/>
      <c r="H56" s="34">
        <f>[1]Rang!$F$68</f>
        <v>0.18421052631578946</v>
      </c>
      <c r="I56" s="36">
        <f>[1]Rang!$F$81</f>
        <v>0.27777777777777779</v>
      </c>
      <c r="J56" s="38">
        <f>[1]Rang!$F$94</f>
        <v>0.61538461538461542</v>
      </c>
      <c r="K56" s="38">
        <f>[1]Rang!$F$107</f>
        <v>0.60493827160493829</v>
      </c>
      <c r="L56" s="38">
        <f>[1]Rang!$F$120</f>
        <v>0.70886075949367089</v>
      </c>
      <c r="N56" s="20">
        <f>O56/5</f>
        <v>80.8</v>
      </c>
      <c r="O56" s="1">
        <f>76+90+78+81+79</f>
        <v>404</v>
      </c>
      <c r="P56" s="11" t="s">
        <v>246</v>
      </c>
    </row>
    <row r="57" spans="1:16" x14ac:dyDescent="0.25">
      <c r="A57" s="1">
        <v>2</v>
      </c>
      <c r="B57" s="60" t="s">
        <v>0</v>
      </c>
      <c r="C57" s="23">
        <f>[1]Rang!$F$8</f>
        <v>2.2727272727272728E-2</v>
      </c>
      <c r="D57" s="25">
        <f>[1]Rang!$F$20</f>
        <v>0.12413793103448276</v>
      </c>
      <c r="E57" s="23">
        <f>[1]Rang!$F$32</f>
        <v>6.5040650406504072E-2</v>
      </c>
      <c r="F57" s="33">
        <f>[1]Rang!$F$44</f>
        <v>0.38834951456310679</v>
      </c>
      <c r="G57" s="24">
        <f>[1]Rang!$F$56</f>
        <v>0.63157894736842102</v>
      </c>
      <c r="H57" s="23">
        <f>[1]Rang!$F$69</f>
        <v>2.0408163265306121E-2</v>
      </c>
      <c r="I57" s="24">
        <f>[1]Rang!$F$82</f>
        <v>0.72881355932203384</v>
      </c>
      <c r="J57" s="24">
        <f>[1]Rang!$F$95</f>
        <v>0.62962962962962965</v>
      </c>
      <c r="K57" s="32">
        <f>[1]Rang!$F$108</f>
        <v>0.82352941176470584</v>
      </c>
      <c r="L57" s="26">
        <f>[1]Rang!$F$121</f>
        <v>0.92156862745098034</v>
      </c>
      <c r="N57" s="20">
        <f>O57/10</f>
        <v>88.1</v>
      </c>
      <c r="O57" s="1">
        <f>132+145+123+103+114+49+59+54+51+51</f>
        <v>881</v>
      </c>
      <c r="P57" s="10" t="s">
        <v>247</v>
      </c>
    </row>
    <row r="58" spans="1:16" x14ac:dyDescent="0.25">
      <c r="A58" s="1">
        <v>3</v>
      </c>
      <c r="B58" s="60" t="s">
        <v>1</v>
      </c>
      <c r="C58" s="23">
        <f>[1]Rang!$F$9</f>
        <v>7.6923076923076927E-2</v>
      </c>
      <c r="D58" s="33">
        <f>[1]Rang!$F$21</f>
        <v>0.26666666666666666</v>
      </c>
      <c r="E58" s="23">
        <f>[1]Rang!$F$33</f>
        <v>7.1428571428571425E-2</v>
      </c>
      <c r="F58" s="25">
        <f>[1]Rang!$F$45</f>
        <v>0.20689655172413793</v>
      </c>
      <c r="G58" s="33">
        <f>[1]Rang!$F$57</f>
        <v>0.4</v>
      </c>
      <c r="H58" s="23">
        <f>[1]Rang!$F$70</f>
        <v>6.6666666666666666E-2</v>
      </c>
      <c r="I58" s="26">
        <f>[1]Rang!$F$83</f>
        <v>0.90625</v>
      </c>
      <c r="J58" s="24">
        <f>[1]Rang!$F$96</f>
        <v>0.70270270270270274</v>
      </c>
      <c r="K58" s="32">
        <f>[1]Rang!$F$109</f>
        <v>0.83333333333333337</v>
      </c>
      <c r="L58" s="26">
        <f>[1]Rang!$F$122</f>
        <v>0.91891891891891897</v>
      </c>
      <c r="N58" s="20">
        <f t="shared" ref="N58:N65" si="1">O58/10</f>
        <v>32.799999999999997</v>
      </c>
      <c r="O58" s="1">
        <f>39+30+28+29+30+30+32+37+36+37</f>
        <v>328</v>
      </c>
      <c r="P58" s="2" t="s">
        <v>248</v>
      </c>
    </row>
    <row r="59" spans="1:16" x14ac:dyDescent="0.25">
      <c r="A59" s="1">
        <v>4</v>
      </c>
      <c r="B59" s="60" t="s">
        <v>4</v>
      </c>
      <c r="C59" s="33">
        <f>[1]Rang!$F$10</f>
        <v>0.2857142857142857</v>
      </c>
      <c r="D59" s="33">
        <f>[1]Rang!$F$22</f>
        <v>0.27450980392156865</v>
      </c>
      <c r="E59" s="25">
        <f>[1]Rang!$F$34</f>
        <v>0.22727272727272727</v>
      </c>
      <c r="F59" s="33">
        <f>[1]Rang!$F$46</f>
        <v>0.40540540540540543</v>
      </c>
      <c r="G59" s="33">
        <f>[1]Rang!$F$58</f>
        <v>0.45</v>
      </c>
      <c r="H59" s="33">
        <f>[1]Rang!$F$71</f>
        <v>0.2558139534883721</v>
      </c>
      <c r="I59" s="32">
        <f>[1]Rang!$F$84</f>
        <v>0.8571428571428571</v>
      </c>
      <c r="J59" s="24">
        <f>[1]Rang!$F$97</f>
        <v>0.69047619047619047</v>
      </c>
      <c r="K59" s="24">
        <f>[1]Rang!$F$110</f>
        <v>0.74468085106382975</v>
      </c>
      <c r="L59" s="32">
        <f>[1]Rang!$F$123</f>
        <v>0.82608695652173914</v>
      </c>
      <c r="N59" s="20">
        <f t="shared" si="1"/>
        <v>44.9</v>
      </c>
      <c r="O59" s="1">
        <f>56+51+45+37+40+43+42+42+47+46</f>
        <v>449</v>
      </c>
      <c r="P59" s="9" t="s">
        <v>249</v>
      </c>
    </row>
    <row r="60" spans="1:16" x14ac:dyDescent="0.25">
      <c r="A60" s="1">
        <v>5</v>
      </c>
      <c r="B60" s="22" t="s">
        <v>5</v>
      </c>
      <c r="C60" s="24">
        <f>[1]Rang!$F$11</f>
        <v>0.55172413793103448</v>
      </c>
      <c r="D60" s="33">
        <f>[1]Rang!$F$23</f>
        <v>0.4</v>
      </c>
      <c r="E60" s="24">
        <f>[1]Rang!$F$35</f>
        <v>0.53125</v>
      </c>
      <c r="F60" s="24">
        <f>[1]Rang!$F$47</f>
        <v>0.58333333333333337</v>
      </c>
      <c r="G60" s="24">
        <f>[1]Rang!$F$59</f>
        <v>0.6428571428571429</v>
      </c>
      <c r="H60" s="33">
        <f>[1]Rang!$F$72</f>
        <v>0.40625</v>
      </c>
      <c r="I60" s="24">
        <f>[1]Rang!$F$86</f>
        <v>0.73584905660377353</v>
      </c>
      <c r="J60" s="26">
        <f>[1]Rang!$F$98</f>
        <v>0.93103448275862066</v>
      </c>
      <c r="K60" s="32">
        <f>[1]Rang!$F$111</f>
        <v>0.8</v>
      </c>
      <c r="L60" s="26">
        <f>[1]Rang!$F$124</f>
        <v>0.93103448275862066</v>
      </c>
      <c r="N60" s="20">
        <f t="shared" si="1"/>
        <v>29.4</v>
      </c>
      <c r="O60" s="1">
        <f>29+30+31+24+28+32+32+29+30+29</f>
        <v>294</v>
      </c>
      <c r="P60" s="8" t="s">
        <v>250</v>
      </c>
    </row>
    <row r="61" spans="1:16" x14ac:dyDescent="0.25">
      <c r="A61" s="1">
        <v>6</v>
      </c>
      <c r="B61" s="60" t="s">
        <v>6</v>
      </c>
      <c r="C61" s="33">
        <f>[1]Rang!$F$12</f>
        <v>0.33898305084745761</v>
      </c>
      <c r="D61" s="25">
        <f>[1]Rang!$F$24</f>
        <v>0.19642857142857142</v>
      </c>
      <c r="E61" s="33">
        <f>[1]Rang!$F$36</f>
        <v>0.41818181818181815</v>
      </c>
      <c r="F61" s="25">
        <f>[1]Rang!$F$48</f>
        <v>0.18333333333333332</v>
      </c>
      <c r="G61" s="24">
        <f>[1]Rang!$F$60</f>
        <v>0.63157894736842102</v>
      </c>
      <c r="H61" s="23">
        <f>[1]Rang!$F$73</f>
        <v>3.6363636363636362E-2</v>
      </c>
      <c r="I61" s="24">
        <f>[1]Rang!$F$85</f>
        <v>0.71875</v>
      </c>
      <c r="J61" s="32">
        <f>[1]Rang!$F$99</f>
        <v>0.81818181818181823</v>
      </c>
      <c r="K61" s="26">
        <f>[1]Rang!$F$112</f>
        <v>0.9464285714285714</v>
      </c>
      <c r="L61" s="26">
        <f>[1]Rang!$F$125</f>
        <v>0.92592592592592593</v>
      </c>
      <c r="N61" s="20">
        <f t="shared" si="1"/>
        <v>56</v>
      </c>
      <c r="O61" s="1">
        <f>59+56+55+60+57+55+53+55+56+54</f>
        <v>560</v>
      </c>
      <c r="P61" s="7" t="s">
        <v>29</v>
      </c>
    </row>
    <row r="62" spans="1:16" x14ac:dyDescent="0.25">
      <c r="A62" s="1">
        <v>7</v>
      </c>
      <c r="B62" s="60" t="s">
        <v>7</v>
      </c>
      <c r="C62" s="23">
        <f>[1]Rang!$F$13</f>
        <v>6.1224489795918366E-2</v>
      </c>
      <c r="D62" s="25">
        <f>[1]Rang!$F$25</f>
        <v>0.12962962962962962</v>
      </c>
      <c r="E62" s="25">
        <f>[1]Rang!$F$37</f>
        <v>0.11363636363636363</v>
      </c>
      <c r="F62" s="33">
        <f>[1]Rang!$F$49</f>
        <v>0.2857142857142857</v>
      </c>
      <c r="G62" s="33">
        <f>[1]Rang!$F$61</f>
        <v>0.32558139534883723</v>
      </c>
      <c r="H62" s="25">
        <f>[1]Rang!$F$74</f>
        <v>0.13953488372093023</v>
      </c>
      <c r="I62" s="24">
        <f>[1]Rang!$F$87</f>
        <v>0.56000000000000005</v>
      </c>
      <c r="J62" s="24">
        <f>[1]Rang!$F$100</f>
        <v>0.54</v>
      </c>
      <c r="K62" s="32">
        <f>[1]Rang!$F$113</f>
        <v>0.82</v>
      </c>
      <c r="L62" s="32">
        <f>[1]Rang!$F$126</f>
        <v>0.76470588235294112</v>
      </c>
      <c r="N62" s="20">
        <f t="shared" si="1"/>
        <v>47.6</v>
      </c>
      <c r="O62" s="1">
        <f>49+54+44+42+43+43+50+50+50+51</f>
        <v>476</v>
      </c>
    </row>
    <row r="63" spans="1:16" x14ac:dyDescent="0.25">
      <c r="A63" s="1">
        <v>8</v>
      </c>
      <c r="B63" s="60" t="s">
        <v>8</v>
      </c>
      <c r="C63" s="23">
        <f>[1]Rang!$F$14</f>
        <v>0</v>
      </c>
      <c r="D63" s="23">
        <f>[1]Rang!$F$26</f>
        <v>1.7543859649122806E-2</v>
      </c>
      <c r="E63" s="23">
        <f>[1]Rang!$F$38</f>
        <v>7.5471698113207544E-2</v>
      </c>
      <c r="F63" s="25">
        <f>[1]Rang!$F$50</f>
        <v>0.14285714285714285</v>
      </c>
      <c r="G63" s="24">
        <f>[1]Rang!$F$62</f>
        <v>0.55319148936170215</v>
      </c>
      <c r="H63" s="25">
        <f>[1]Rang!$F$75</f>
        <v>0.1111111111111111</v>
      </c>
      <c r="I63" s="24">
        <f>[1]Rang!$F$88</f>
        <v>0.5957446808510638</v>
      </c>
      <c r="J63" s="24">
        <f>[1]Rang!$F$101</f>
        <v>0.55769230769230771</v>
      </c>
      <c r="K63" s="24">
        <f>[1]Rang!$F$114</f>
        <v>0.67924528301886788</v>
      </c>
      <c r="L63" s="32">
        <f>[1]Rang!$F$127</f>
        <v>0.76</v>
      </c>
      <c r="N63" s="20">
        <f t="shared" si="1"/>
        <v>50.2</v>
      </c>
      <c r="O63" s="1">
        <f>49+57+53+49+47+45+47+52+53+50</f>
        <v>502</v>
      </c>
    </row>
    <row r="64" spans="1:16" x14ac:dyDescent="0.25">
      <c r="A64" s="1">
        <v>9</v>
      </c>
      <c r="B64" s="60" t="s">
        <v>9</v>
      </c>
      <c r="C64" s="25">
        <f>[1]Rang!$F$15</f>
        <v>0.12307692307692308</v>
      </c>
      <c r="D64" s="25">
        <f>[1]Rang!$F$27</f>
        <v>0.2</v>
      </c>
      <c r="E64" s="33">
        <f>[1]Rang!$F$39</f>
        <v>0.29310344827586204</v>
      </c>
      <c r="F64" s="25">
        <f>[1]Rang!$F$51</f>
        <v>0.17241379310344829</v>
      </c>
      <c r="G64" s="24">
        <f>[1]Rang!$F$63</f>
        <v>0.5</v>
      </c>
      <c r="H64" s="33">
        <f>[1]Rang!$F$76</f>
        <v>0.26229508196721313</v>
      </c>
      <c r="I64" s="32">
        <f>[1]Rang!$F$89</f>
        <v>0.84848484848484851</v>
      </c>
      <c r="J64" s="32">
        <f>[1]Rang!$F$102</f>
        <v>0.765625</v>
      </c>
      <c r="K64" s="32">
        <f>[1]Rang!$F$115</f>
        <v>0.84126984126984128</v>
      </c>
      <c r="L64" s="32">
        <f>[1]Rang!$F$128</f>
        <v>0.75</v>
      </c>
      <c r="N64" s="20">
        <f t="shared" si="1"/>
        <v>62.4</v>
      </c>
      <c r="O64" s="1">
        <f>65+65+58+58+60+61+66+64+63+64</f>
        <v>624</v>
      </c>
    </row>
    <row r="65" spans="1:16" ht="15.75" thickBot="1" x14ac:dyDescent="0.3">
      <c r="A65" s="1">
        <v>10</v>
      </c>
      <c r="B65" s="61" t="s">
        <v>10</v>
      </c>
      <c r="C65" s="29">
        <f>[1]Rang!$F$16</f>
        <v>0</v>
      </c>
      <c r="D65" s="29">
        <f>[1]Rang!$F$28</f>
        <v>8.5106382978723402E-2</v>
      </c>
      <c r="E65" s="30">
        <f>[1]Rang!$F$40</f>
        <v>0.52380952380952384</v>
      </c>
      <c r="F65" s="29">
        <f>[1]Rang!$F$52</f>
        <v>6.6666666666666666E-2</v>
      </c>
      <c r="G65" s="29">
        <f>[1]Rang!$F$64</f>
        <v>8.6956521739130432E-2</v>
      </c>
      <c r="H65" s="29">
        <f>[1]Rang!$F$77</f>
        <v>4.3478260869565216E-2</v>
      </c>
      <c r="I65" s="37">
        <f>[1]Rang!$F$90</f>
        <v>0.46153846153846156</v>
      </c>
      <c r="J65" s="31">
        <f>[1]Rang!$F$103</f>
        <v>0.22727272727272727</v>
      </c>
      <c r="K65" s="30">
        <f>[1]Rang!$F$116</f>
        <v>0.5</v>
      </c>
      <c r="L65" s="35">
        <f>[1]Rang!$F$129</f>
        <v>0.75</v>
      </c>
      <c r="N65" s="20">
        <f t="shared" si="1"/>
        <v>44.9</v>
      </c>
      <c r="O65" s="1">
        <f>52+47+42+45+46+46+39+44+44+44</f>
        <v>449</v>
      </c>
    </row>
    <row r="66" spans="1:16" x14ac:dyDescent="0.25">
      <c r="C66" s="6"/>
    </row>
    <row r="67" spans="1:16" s="4" customFormat="1" x14ac:dyDescent="0.25">
      <c r="A67" s="5"/>
      <c r="B67" s="4" t="s">
        <v>11</v>
      </c>
      <c r="C67" s="14">
        <v>0.13</v>
      </c>
      <c r="D67" s="14">
        <v>0.16400000000000001</v>
      </c>
      <c r="E67" s="14">
        <v>0.22800000000000001</v>
      </c>
      <c r="F67" s="15">
        <v>0.26400000000000001</v>
      </c>
      <c r="G67" s="15">
        <v>0.495</v>
      </c>
      <c r="H67" s="14">
        <v>0.15</v>
      </c>
      <c r="I67" s="16">
        <v>0.63700000000000001</v>
      </c>
      <c r="J67" s="16">
        <v>0.64200000000000002</v>
      </c>
      <c r="K67" s="17">
        <v>0.753</v>
      </c>
      <c r="L67" s="17">
        <v>0.81200000000000006</v>
      </c>
      <c r="N67" s="20">
        <f>O67/10</f>
        <v>496.7</v>
      </c>
      <c r="O67" s="1">
        <f>530+535+479+447+465+480+510+505+511+505</f>
        <v>4967</v>
      </c>
    </row>
    <row r="68" spans="1:16" x14ac:dyDescent="0.25">
      <c r="B68" s="4" t="s">
        <v>193</v>
      </c>
      <c r="C68" s="50">
        <v>0.19900000000000001</v>
      </c>
      <c r="D68" s="50">
        <v>0.248</v>
      </c>
      <c r="E68" s="51">
        <v>0.312</v>
      </c>
      <c r="G68" s="51">
        <v>0.308</v>
      </c>
      <c r="H68" s="51">
        <v>0.26200000000000001</v>
      </c>
      <c r="J68" s="51">
        <v>0.48499999999999999</v>
      </c>
      <c r="K68" s="52">
        <v>0.53800000000000003</v>
      </c>
      <c r="L68" s="70">
        <v>0.53100000000000003</v>
      </c>
    </row>
    <row r="69" spans="1:16" x14ac:dyDescent="0.25">
      <c r="B69" t="s">
        <v>209</v>
      </c>
      <c r="D69" s="13"/>
      <c r="J69"/>
      <c r="K69"/>
      <c r="L69"/>
    </row>
    <row r="70" spans="1:16" x14ac:dyDescent="0.25">
      <c r="B70" t="s">
        <v>219</v>
      </c>
      <c r="D70" s="13"/>
      <c r="J70"/>
      <c r="K70"/>
      <c r="L70"/>
    </row>
    <row r="72" spans="1:16" x14ac:dyDescent="0.25">
      <c r="G72" s="13"/>
    </row>
    <row r="73" spans="1:16" ht="18.75" x14ac:dyDescent="0.3">
      <c r="B73" s="75" t="s">
        <v>45</v>
      </c>
      <c r="E73" s="3"/>
      <c r="L73" s="12"/>
      <c r="N73" s="5" t="s">
        <v>26</v>
      </c>
      <c r="O73" s="5" t="s">
        <v>189</v>
      </c>
    </row>
    <row r="74" spans="1:16" s="4" customFormat="1" ht="15.75" thickBot="1" x14ac:dyDescent="0.3">
      <c r="A74" s="5"/>
      <c r="C74" s="27">
        <v>1874</v>
      </c>
      <c r="D74" s="27">
        <v>1880</v>
      </c>
      <c r="E74" s="28">
        <v>1886</v>
      </c>
      <c r="F74" s="28">
        <v>1892</v>
      </c>
      <c r="G74" s="28">
        <v>1894</v>
      </c>
      <c r="H74" s="28">
        <v>1900</v>
      </c>
      <c r="I74" s="28">
        <v>1902</v>
      </c>
      <c r="J74" s="28">
        <v>1903</v>
      </c>
      <c r="N74" s="5" t="s">
        <v>27</v>
      </c>
      <c r="O74" s="5" t="s">
        <v>190</v>
      </c>
    </row>
    <row r="75" spans="1:16" x14ac:dyDescent="0.25">
      <c r="A75" s="1">
        <v>1</v>
      </c>
      <c r="B75" s="60" t="s">
        <v>46</v>
      </c>
      <c r="C75" s="44"/>
      <c r="D75" s="44"/>
      <c r="E75" s="33">
        <f>'[1]V-Skaft'!$F$20</f>
        <v>0.35820895522388058</v>
      </c>
      <c r="F75" s="33">
        <f>'[1]V-Skaft'!$F$26</f>
        <v>0.3559322033898305</v>
      </c>
      <c r="G75" s="53"/>
      <c r="H75" s="53"/>
      <c r="I75" s="53"/>
      <c r="J75" s="53"/>
      <c r="N75" s="20">
        <f>O75/2</f>
        <v>63</v>
      </c>
      <c r="O75" s="1">
        <f>67+59</f>
        <v>126</v>
      </c>
    </row>
    <row r="76" spans="1:16" x14ac:dyDescent="0.25">
      <c r="A76" s="1">
        <v>2</v>
      </c>
      <c r="B76" s="60" t="s">
        <v>47</v>
      </c>
      <c r="C76" s="53"/>
      <c r="D76" s="53"/>
      <c r="E76" s="53"/>
      <c r="F76" s="53"/>
      <c r="G76" s="25">
        <f>'[1]V-Skaft'!$F$35</f>
        <v>0.19354838709677419</v>
      </c>
      <c r="H76" s="33">
        <f>'[1]V-Skaft'!$F$46</f>
        <v>0.34482758620689657</v>
      </c>
      <c r="I76" s="33">
        <f>'[1]V-Skaft'!$F$56</f>
        <v>0.34615384615384615</v>
      </c>
      <c r="J76" s="25">
        <f>'[1]V-Skaft'!$F$66</f>
        <v>0.10714285714285714</v>
      </c>
      <c r="N76" s="20">
        <f>O76/4</f>
        <v>28.5</v>
      </c>
      <c r="O76" s="1">
        <f>31+29+26+28</f>
        <v>114</v>
      </c>
      <c r="P76" s="11" t="s">
        <v>246</v>
      </c>
    </row>
    <row r="77" spans="1:16" x14ac:dyDescent="0.25">
      <c r="A77" s="1">
        <v>3</v>
      </c>
      <c r="B77" s="60" t="s">
        <v>48</v>
      </c>
      <c r="C77" s="53"/>
      <c r="D77" s="53"/>
      <c r="E77" s="53"/>
      <c r="F77" s="53"/>
      <c r="G77" s="23">
        <f>'[1]V-Skaft'!$F$36</f>
        <v>9.375E-2</v>
      </c>
      <c r="H77" s="33">
        <f>'[1]V-Skaft'!$F$47</f>
        <v>0.48648648648648651</v>
      </c>
      <c r="I77" s="24">
        <f>'[1]V-Skaft'!$F$57</f>
        <v>0.54285714285714282</v>
      </c>
      <c r="J77" s="33">
        <f>'[1]V-Skaft'!$F$67</f>
        <v>0.29411764705882354</v>
      </c>
      <c r="N77" s="20">
        <f>O77/4</f>
        <v>34.5</v>
      </c>
      <c r="O77" s="1">
        <f>32+37+35+34</f>
        <v>138</v>
      </c>
      <c r="P77" s="10" t="s">
        <v>247</v>
      </c>
    </row>
    <row r="78" spans="1:16" x14ac:dyDescent="0.25">
      <c r="A78" s="1">
        <v>4</v>
      </c>
      <c r="B78" s="22" t="s">
        <v>49</v>
      </c>
      <c r="C78" s="44"/>
      <c r="D78" s="44"/>
      <c r="E78" s="24">
        <f>'[1]V-Skaft'!$F$21</f>
        <v>0.56521739130434778</v>
      </c>
      <c r="F78" s="25">
        <f>'[1]V-Skaft'!$F$27</f>
        <v>0.23529411764705882</v>
      </c>
      <c r="G78" s="24">
        <f>'[1]V-Skaft'!$F$37</f>
        <v>0.70588235294117652</v>
      </c>
      <c r="H78" s="24">
        <f>'[1]V-Skaft'!$F$48</f>
        <v>0.51515151515151514</v>
      </c>
      <c r="I78" s="24">
        <f>'[1]V-Skaft'!$F$58</f>
        <v>0.68965517241379315</v>
      </c>
      <c r="J78" s="33">
        <f>'[1]V-Skaft'!$F$68</f>
        <v>0.48275862068965519</v>
      </c>
      <c r="N78" s="20">
        <f>O78/6</f>
        <v>38</v>
      </c>
      <c r="O78" s="1">
        <f>69+34+34+33+29+29</f>
        <v>228</v>
      </c>
      <c r="P78" s="2" t="s">
        <v>248</v>
      </c>
    </row>
    <row r="79" spans="1:16" x14ac:dyDescent="0.25">
      <c r="A79" s="1">
        <v>5</v>
      </c>
      <c r="B79" s="60" t="s">
        <v>50</v>
      </c>
      <c r="C79" s="53"/>
      <c r="D79" s="53"/>
      <c r="E79" s="53"/>
      <c r="F79" s="24">
        <f>'[1]V-Skaft'!$F$28</f>
        <v>0.5</v>
      </c>
      <c r="G79" s="23">
        <f>'[1]V-Skaft'!$F$38</f>
        <v>7.1428571428571425E-2</v>
      </c>
      <c r="H79" s="25">
        <f>'[1]V-Skaft'!$F$49</f>
        <v>0.13333333333333333</v>
      </c>
      <c r="I79" s="33">
        <f>'[1]V-Skaft'!$F$59</f>
        <v>0.33333333333333331</v>
      </c>
      <c r="J79" s="33">
        <f>'[1]V-Skaft'!$F$69</f>
        <v>0.35714285714285715</v>
      </c>
      <c r="N79" s="20">
        <f>O79/5</f>
        <v>14.4</v>
      </c>
      <c r="O79" s="1">
        <f>14+14+15+15+14</f>
        <v>72</v>
      </c>
      <c r="P79" s="9" t="s">
        <v>249</v>
      </c>
    </row>
    <row r="80" spans="1:16" x14ac:dyDescent="0.25">
      <c r="A80" s="1">
        <v>6</v>
      </c>
      <c r="B80" s="67" t="s">
        <v>51</v>
      </c>
      <c r="C80" s="56"/>
      <c r="D80" s="56"/>
      <c r="E80" s="56"/>
      <c r="F80" s="33">
        <f>'[1]V-Skaft'!$F$29</f>
        <v>0.41666666666666669</v>
      </c>
      <c r="G80" s="33">
        <f>'[1]V-Skaft'!$F$39</f>
        <v>0.2857142857142857</v>
      </c>
      <c r="H80" s="33">
        <f>'[1]V-Skaft'!$F$50</f>
        <v>0.25</v>
      </c>
      <c r="I80" s="25">
        <f>'[1]V-Skaft'!$F$60</f>
        <v>0.17647058823529413</v>
      </c>
      <c r="J80" s="25">
        <f>'[1]V-Skaft'!$F$70</f>
        <v>0.13333333333333333</v>
      </c>
      <c r="N80" s="20">
        <f>O80/5</f>
        <v>14.8</v>
      </c>
      <c r="O80" s="1">
        <f>12+14+16+17+15</f>
        <v>74</v>
      </c>
      <c r="P80" s="8" t="s">
        <v>250</v>
      </c>
    </row>
    <row r="81" spans="1:16" x14ac:dyDescent="0.25">
      <c r="A81" s="1">
        <v>7</v>
      </c>
      <c r="B81" t="s">
        <v>52</v>
      </c>
      <c r="C81" s="53"/>
      <c r="D81" s="53"/>
      <c r="E81" s="53"/>
      <c r="F81" s="25">
        <f>'[1]V-Skaft'!$F$30</f>
        <v>0.12820512820512819</v>
      </c>
      <c r="G81" s="25">
        <f>'[1]V-Skaft'!$F$40</f>
        <v>0.17142857142857143</v>
      </c>
      <c r="H81" s="23">
        <f>'[1]V-Skaft'!$F$51</f>
        <v>7.8947368421052627E-2</v>
      </c>
      <c r="I81" s="23">
        <f>'[1]V-Skaft'!$F$61</f>
        <v>5.5555555555555552E-2</v>
      </c>
      <c r="J81" s="23">
        <f>'[1]V-Skaft'!$F$71</f>
        <v>2.6315789473684209E-2</v>
      </c>
      <c r="N81" s="20">
        <f>O81/5</f>
        <v>37.200000000000003</v>
      </c>
      <c r="O81" s="1">
        <f>39+35+38+36+38</f>
        <v>186</v>
      </c>
      <c r="P81" s="7" t="s">
        <v>29</v>
      </c>
    </row>
    <row r="82" spans="1:16" ht="15.75" thickBot="1" x14ac:dyDescent="0.3">
      <c r="A82" s="1">
        <v>8</v>
      </c>
      <c r="B82" s="68" t="s">
        <v>53</v>
      </c>
      <c r="C82" s="46"/>
      <c r="D82" s="46"/>
      <c r="E82" s="40">
        <f>'[1]V-Skaft'!$F$22</f>
        <v>0.21212121212121213</v>
      </c>
      <c r="F82" s="40">
        <f>'[1]V-Skaft'!$F$31</f>
        <v>0.10526315789473684</v>
      </c>
      <c r="G82" s="40">
        <f>'[1]V-Skaft'!$F$41</f>
        <v>0.18421052631578946</v>
      </c>
      <c r="H82" s="40">
        <f>'[1]V-Skaft'!$F$52</f>
        <v>0.15</v>
      </c>
      <c r="I82" s="41">
        <f>'[1]V-Skaft'!$F$62</f>
        <v>0</v>
      </c>
      <c r="J82" s="41">
        <f>'[1]V-Skaft'!$F$72</f>
        <v>2.3255813953488372E-2</v>
      </c>
      <c r="N82" s="20">
        <f>O82/6</f>
        <v>43.333333333333336</v>
      </c>
      <c r="O82" s="1">
        <f>66+38+38+40+35+43</f>
        <v>260</v>
      </c>
    </row>
    <row r="83" spans="1:16" x14ac:dyDescent="0.25">
      <c r="C83" s="6"/>
    </row>
    <row r="84" spans="1:16" s="4" customFormat="1" x14ac:dyDescent="0.25">
      <c r="A84" s="5"/>
      <c r="B84" s="4" t="s">
        <v>11</v>
      </c>
      <c r="C84" s="47"/>
      <c r="D84" s="51">
        <f>67/219</f>
        <v>0.30593607305936071</v>
      </c>
      <c r="E84" s="51">
        <f>'[1]V-Skaft'!$F$23</f>
        <v>0.38118811881188119</v>
      </c>
      <c r="F84" s="51">
        <f>'[1]V-Skaft'!$F$32</f>
        <v>0.25510204081632654</v>
      </c>
      <c r="G84" s="51">
        <f>'[1]V-Skaft'!$F$42</f>
        <v>0.25757575757575757</v>
      </c>
      <c r="H84" s="51">
        <f>'[1]V-Skaft'!$F$53</f>
        <v>0.28846153846153844</v>
      </c>
      <c r="I84" s="51">
        <f>'[1]V-Skaft'!$F$63</f>
        <v>0.30051813471502592</v>
      </c>
      <c r="J84" s="50">
        <f>'[1]V-Skaft'!$F$73</f>
        <v>0.17910447761194029</v>
      </c>
      <c r="N84" s="20">
        <f>O84/6</f>
        <v>199.66666666666666</v>
      </c>
      <c r="O84" s="1">
        <f>202+196+198+208+193+201</f>
        <v>1198</v>
      </c>
    </row>
    <row r="85" spans="1:16" x14ac:dyDescent="0.25">
      <c r="B85" s="4" t="s">
        <v>193</v>
      </c>
      <c r="C85" s="50">
        <v>0.19900000000000001</v>
      </c>
      <c r="D85" s="50">
        <v>0.248</v>
      </c>
      <c r="E85" s="51">
        <v>0.312</v>
      </c>
      <c r="F85" s="51">
        <v>0.308</v>
      </c>
      <c r="G85" s="51">
        <v>0.26200000000000001</v>
      </c>
      <c r="H85" s="51">
        <v>0.48499999999999999</v>
      </c>
      <c r="I85" s="52">
        <v>0.53800000000000003</v>
      </c>
      <c r="J85" s="70">
        <v>0.53100000000000003</v>
      </c>
    </row>
    <row r="86" spans="1:16" x14ac:dyDescent="0.25">
      <c r="B86" t="s">
        <v>208</v>
      </c>
      <c r="G86" s="13"/>
    </row>
    <row r="87" spans="1:16" x14ac:dyDescent="0.25">
      <c r="B87" s="13" t="s">
        <v>44</v>
      </c>
      <c r="G87" s="13"/>
    </row>
    <row r="88" spans="1:16" x14ac:dyDescent="0.25">
      <c r="B88" s="13" t="s">
        <v>243</v>
      </c>
      <c r="G88" s="13"/>
    </row>
    <row r="89" spans="1:16" x14ac:dyDescent="0.25">
      <c r="B89" t="s">
        <v>220</v>
      </c>
      <c r="G89" s="13"/>
    </row>
    <row r="90" spans="1:16" x14ac:dyDescent="0.25">
      <c r="B90" t="s">
        <v>221</v>
      </c>
      <c r="G90" s="13"/>
    </row>
    <row r="91" spans="1:16" x14ac:dyDescent="0.25">
      <c r="B91" t="s">
        <v>222</v>
      </c>
      <c r="G91" s="13"/>
    </row>
    <row r="92" spans="1:16" x14ac:dyDescent="0.25">
      <c r="G92" s="13"/>
    </row>
    <row r="94" spans="1:16" ht="18.75" x14ac:dyDescent="0.3">
      <c r="B94" s="75" t="s">
        <v>39</v>
      </c>
      <c r="E94" s="3"/>
      <c r="L94" s="12"/>
      <c r="N94" s="5" t="s">
        <v>26</v>
      </c>
      <c r="O94" s="5" t="s">
        <v>189</v>
      </c>
    </row>
    <row r="95" spans="1:16" s="4" customFormat="1" ht="15.75" thickBot="1" x14ac:dyDescent="0.3">
      <c r="A95" s="5"/>
      <c r="C95" s="27">
        <v>1874</v>
      </c>
      <c r="D95" s="27">
        <v>1880</v>
      </c>
      <c r="E95" s="28">
        <v>1885</v>
      </c>
      <c r="F95" s="28">
        <v>1886</v>
      </c>
      <c r="G95" s="28">
        <v>1892</v>
      </c>
      <c r="H95" s="28">
        <v>1894</v>
      </c>
      <c r="I95" s="28">
        <v>1900</v>
      </c>
      <c r="J95" s="28">
        <v>1902</v>
      </c>
      <c r="K95" s="28">
        <v>1903</v>
      </c>
      <c r="N95" s="5" t="s">
        <v>27</v>
      </c>
      <c r="O95" s="5" t="s">
        <v>190</v>
      </c>
    </row>
    <row r="96" spans="1:16" x14ac:dyDescent="0.25">
      <c r="A96" s="1">
        <v>1</v>
      </c>
      <c r="B96" s="60" t="s">
        <v>40</v>
      </c>
      <c r="C96" s="44"/>
      <c r="D96" s="44"/>
      <c r="E96" s="25">
        <f>'[1]A-Skaft'!$F$23</f>
        <v>0.10344827586206896</v>
      </c>
      <c r="F96" s="25">
        <f>'[1]A-Skaft'!$F$31</f>
        <v>0.17857142857142858</v>
      </c>
      <c r="G96" s="32">
        <f>'[1]A-Skaft'!$F$39</f>
        <v>0.88</v>
      </c>
      <c r="H96" s="33">
        <f>'[1]A-Skaft'!$F$47</f>
        <v>0.29166666666666669</v>
      </c>
      <c r="I96" s="24">
        <f>'[1]A-Skaft'!$F$56</f>
        <v>0.5714285714285714</v>
      </c>
      <c r="J96" s="32">
        <f>'[1]A-Skaft'!$F$64</f>
        <v>0.75</v>
      </c>
      <c r="K96" s="32">
        <f>'[1]A-Skaft'!$F$72</f>
        <v>0.79166666666666663</v>
      </c>
      <c r="N96" s="20">
        <f t="shared" ref="N96:N101" si="2">O96/7</f>
        <v>26</v>
      </c>
      <c r="O96" s="1">
        <f>29+28+25+24+28+24+24</f>
        <v>182</v>
      </c>
      <c r="P96" s="11" t="s">
        <v>246</v>
      </c>
    </row>
    <row r="97" spans="1:16" x14ac:dyDescent="0.25">
      <c r="A97" s="1">
        <v>2</v>
      </c>
      <c r="B97" s="60" t="s">
        <v>41</v>
      </c>
      <c r="C97" s="44"/>
      <c r="D97" s="53"/>
      <c r="E97" s="53"/>
      <c r="F97" s="53"/>
      <c r="G97" s="53"/>
      <c r="H97" s="53"/>
      <c r="I97" s="53"/>
      <c r="J97" s="53"/>
      <c r="K97" s="53"/>
      <c r="N97" s="20">
        <f t="shared" si="2"/>
        <v>0</v>
      </c>
      <c r="P97" s="10" t="s">
        <v>247</v>
      </c>
    </row>
    <row r="98" spans="1:16" x14ac:dyDescent="0.25">
      <c r="A98" s="1">
        <v>3</v>
      </c>
      <c r="B98" s="60" t="s">
        <v>42</v>
      </c>
      <c r="C98" s="53"/>
      <c r="D98" s="44"/>
      <c r="E98" s="24">
        <f>'[1]A-Skaft'!$F$24</f>
        <v>0.66666666666666663</v>
      </c>
      <c r="F98" s="24">
        <f>'[1]A-Skaft'!$F$32</f>
        <v>0.69565217391304346</v>
      </c>
      <c r="G98" s="32">
        <f>'[1]A-Skaft'!$F$40</f>
        <v>0.8</v>
      </c>
      <c r="H98" s="33">
        <f>'[1]A-Skaft'!$F$48</f>
        <v>0.48</v>
      </c>
      <c r="I98" s="24">
        <f>'[1]A-Skaft'!$F$57</f>
        <v>0.7</v>
      </c>
      <c r="J98" s="24">
        <f>'[1]A-Skaft'!$F$65</f>
        <v>0.59259259259259256</v>
      </c>
      <c r="K98" s="32">
        <f>'[1]A-Skaft'!$F$73</f>
        <v>0.75757575757575757</v>
      </c>
      <c r="N98" s="20">
        <f t="shared" si="2"/>
        <v>26.285714285714285</v>
      </c>
      <c r="O98" s="1">
        <f>21+23+25+25+30+27+33</f>
        <v>184</v>
      </c>
      <c r="P98" s="2" t="s">
        <v>248</v>
      </c>
    </row>
    <row r="99" spans="1:16" x14ac:dyDescent="0.25">
      <c r="A99" s="1">
        <v>4</v>
      </c>
      <c r="B99" s="22" t="s">
        <v>205</v>
      </c>
      <c r="C99" s="53"/>
      <c r="D99" s="44"/>
      <c r="E99" s="33">
        <f>'[1]A-Skaft'!$F$25</f>
        <v>0.37037037037037035</v>
      </c>
      <c r="F99" s="24">
        <f>'[1]A-Skaft'!$F$33</f>
        <v>0.51851851851851849</v>
      </c>
      <c r="G99" s="24">
        <f>'[1]A-Skaft'!$F$41</f>
        <v>0.68</v>
      </c>
      <c r="H99" s="32">
        <f>'[1]A-Skaft'!$F$49</f>
        <v>0.77272727272727271</v>
      </c>
      <c r="I99" s="32">
        <f>'[1]A-Skaft'!$F$58</f>
        <v>0.86363636363636365</v>
      </c>
      <c r="J99" s="26">
        <f>'[1]A-Skaft'!$F$66</f>
        <v>0.9</v>
      </c>
      <c r="K99" s="24">
        <f>'[1]A-Skaft'!$F$74</f>
        <v>0.7142857142857143</v>
      </c>
      <c r="N99" s="20">
        <f t="shared" si="2"/>
        <v>23.428571428571427</v>
      </c>
      <c r="O99" s="1">
        <f>27+27+25+22+22+20+21</f>
        <v>164</v>
      </c>
      <c r="P99" s="9" t="s">
        <v>249</v>
      </c>
    </row>
    <row r="100" spans="1:16" x14ac:dyDescent="0.25">
      <c r="A100" s="1">
        <v>5</v>
      </c>
      <c r="B100" s="22" t="s">
        <v>206</v>
      </c>
      <c r="C100" s="44"/>
      <c r="D100" s="44"/>
      <c r="E100" s="24">
        <f>'[1]A-Skaft'!$F$26</f>
        <v>0.73684210526315785</v>
      </c>
      <c r="F100" s="26">
        <f>'[1]A-Skaft'!$F$34</f>
        <v>0.95</v>
      </c>
      <c r="G100" s="25">
        <f>'[1]A-Skaft'!$F$42</f>
        <v>0.15</v>
      </c>
      <c r="H100" s="25">
        <f>'[1]A-Skaft'!$F$50</f>
        <v>0.14814814814814814</v>
      </c>
      <c r="I100" s="24">
        <f>'[1]A-Skaft'!$F$59</f>
        <v>0.61904761904761907</v>
      </c>
      <c r="J100" s="32">
        <f>'[1]A-Skaft'!$F$67</f>
        <v>0.78947368421052633</v>
      </c>
      <c r="K100" s="32">
        <f>'[1]A-Skaft'!$F$75</f>
        <v>0.77272727272727271</v>
      </c>
      <c r="N100" s="20">
        <f t="shared" si="2"/>
        <v>21.142857142857142</v>
      </c>
      <c r="O100" s="1">
        <f>19+20+20+27+21+19+22</f>
        <v>148</v>
      </c>
      <c r="P100" s="8" t="s">
        <v>250</v>
      </c>
    </row>
    <row r="101" spans="1:16" ht="15.75" thickBot="1" x14ac:dyDescent="0.3">
      <c r="A101" s="1">
        <v>6</v>
      </c>
      <c r="B101" s="68" t="s">
        <v>43</v>
      </c>
      <c r="C101" s="46"/>
      <c r="D101" s="46"/>
      <c r="E101" s="42">
        <f>'[1]A-Skaft'!$F$27</f>
        <v>0.27777777777777779</v>
      </c>
      <c r="F101" s="55">
        <f>'[1]A-Skaft'!$F$35</f>
        <v>0.78947368421052633</v>
      </c>
      <c r="G101" s="40">
        <f>'[1]A-Skaft'!$F$43</f>
        <v>0.16666666666666666</v>
      </c>
      <c r="H101" s="41">
        <f>'[1]A-Skaft'!$F$51</f>
        <v>4.1666666666666664E-2</v>
      </c>
      <c r="I101" s="42">
        <f>'[1]A-Skaft'!$F$60</f>
        <v>0.25925925925925924</v>
      </c>
      <c r="J101" s="55">
        <f>'[1]A-Skaft'!$F$68</f>
        <v>0.76923076923076927</v>
      </c>
      <c r="K101" s="55">
        <f>'[1]A-Skaft'!$F$76</f>
        <v>0.80769230769230771</v>
      </c>
      <c r="N101" s="20">
        <f t="shared" si="2"/>
        <v>28.714285714285715</v>
      </c>
      <c r="O101" s="1">
        <f>36+38+24+24+27+26+26</f>
        <v>201</v>
      </c>
      <c r="P101" s="7" t="s">
        <v>29</v>
      </c>
    </row>
    <row r="102" spans="1:16" x14ac:dyDescent="0.25">
      <c r="C102" s="6"/>
    </row>
    <row r="103" spans="1:16" s="4" customFormat="1" x14ac:dyDescent="0.25">
      <c r="A103" s="5"/>
      <c r="B103" s="4" t="s">
        <v>11</v>
      </c>
      <c r="C103" s="47"/>
      <c r="D103" s="51">
        <f>49/136</f>
        <v>0.36029411764705882</v>
      </c>
      <c r="E103" s="51">
        <f>'[1]A-Skaft'!$F$28</f>
        <v>0.38636363636363635</v>
      </c>
      <c r="F103" s="52">
        <f>'[1]A-Skaft'!$F$36</f>
        <v>0.61764705882352944</v>
      </c>
      <c r="G103" s="52">
        <f>'[1]A-Skaft'!$F$44</f>
        <v>0.55462184873949583</v>
      </c>
      <c r="H103" s="51">
        <f>'[1]A-Skaft'!$F$52</f>
        <v>0.33606557377049179</v>
      </c>
      <c r="I103" s="52">
        <f>'[1]A-Skaft'!$F$61</f>
        <v>0.59375</v>
      </c>
      <c r="J103" s="54">
        <f>'[1]A-Skaft'!$F$69</f>
        <v>0.75</v>
      </c>
      <c r="K103" s="54">
        <f>'[1]A-Skaft'!$F$77</f>
        <v>0.76984126984126988</v>
      </c>
      <c r="N103" s="20">
        <f>O103/7</f>
        <v>125.57142857142857</v>
      </c>
      <c r="O103" s="1">
        <f>132+136+119+122+128+116+126</f>
        <v>879</v>
      </c>
    </row>
    <row r="104" spans="1:16" x14ac:dyDescent="0.25">
      <c r="B104" s="4" t="s">
        <v>193</v>
      </c>
      <c r="C104" s="50">
        <v>0.19900000000000001</v>
      </c>
      <c r="D104" s="50">
        <v>0.248</v>
      </c>
      <c r="F104" s="51">
        <v>0.312</v>
      </c>
      <c r="G104" s="51">
        <v>0.308</v>
      </c>
      <c r="H104" s="51">
        <v>0.26200000000000001</v>
      </c>
      <c r="I104" s="51">
        <v>0.48499999999999999</v>
      </c>
      <c r="J104" s="52">
        <v>0.53800000000000003</v>
      </c>
      <c r="K104" s="70">
        <v>0.53100000000000003</v>
      </c>
    </row>
    <row r="105" spans="1:16" x14ac:dyDescent="0.25">
      <c r="B105" s="13" t="s">
        <v>207</v>
      </c>
      <c r="G105" s="13"/>
    </row>
    <row r="106" spans="1:16" x14ac:dyDescent="0.25">
      <c r="B106" s="13" t="s">
        <v>44</v>
      </c>
      <c r="G106" s="13"/>
    </row>
    <row r="107" spans="1:16" x14ac:dyDescent="0.25">
      <c r="B107" s="13" t="s">
        <v>243</v>
      </c>
      <c r="G107" s="13"/>
    </row>
    <row r="108" spans="1:16" x14ac:dyDescent="0.25">
      <c r="B108" s="13" t="s">
        <v>214</v>
      </c>
      <c r="G108" s="13"/>
      <c r="H108" s="13"/>
    </row>
    <row r="109" spans="1:16" x14ac:dyDescent="0.25">
      <c r="G109" s="13"/>
    </row>
    <row r="111" spans="1:16" ht="18.75" x14ac:dyDescent="0.3">
      <c r="B111" s="75" t="s">
        <v>30</v>
      </c>
      <c r="E111" s="3"/>
      <c r="L111" s="12"/>
      <c r="N111" s="5" t="s">
        <v>26</v>
      </c>
      <c r="O111" s="5" t="s">
        <v>189</v>
      </c>
    </row>
    <row r="112" spans="1:16" s="4" customFormat="1" ht="15.75" thickBot="1" x14ac:dyDescent="0.3">
      <c r="A112" s="5"/>
      <c r="C112" s="27">
        <v>1874</v>
      </c>
      <c r="D112" s="27">
        <v>1879</v>
      </c>
      <c r="E112" s="28">
        <v>1880</v>
      </c>
      <c r="F112" s="28">
        <v>1886</v>
      </c>
      <c r="G112" s="28">
        <v>1890</v>
      </c>
      <c r="H112" s="28">
        <v>1892</v>
      </c>
      <c r="I112" s="28">
        <v>1894</v>
      </c>
      <c r="J112" s="28">
        <v>1900</v>
      </c>
      <c r="K112" s="28">
        <v>1902</v>
      </c>
      <c r="L112" s="28">
        <v>1903</v>
      </c>
      <c r="N112" s="5" t="s">
        <v>27</v>
      </c>
      <c r="O112" s="5" t="s">
        <v>190</v>
      </c>
    </row>
    <row r="113" spans="1:16" x14ac:dyDescent="0.25">
      <c r="A113" s="1">
        <v>1</v>
      </c>
      <c r="B113" s="22" t="s">
        <v>203</v>
      </c>
      <c r="C113" s="33">
        <f>'[1]S-Múl'!$F$8</f>
        <v>0.34782608695652173</v>
      </c>
      <c r="D113" s="24">
        <f>'[1]S-Múl'!$F$22</f>
        <v>0.52941176470588236</v>
      </c>
      <c r="E113" s="24">
        <f>'[1]S-Múl'!$F$36</f>
        <v>0.58823529411764708</v>
      </c>
      <c r="F113" s="32">
        <f>'[1]S-Múl'!$F$49</f>
        <v>0.84210526315789469</v>
      </c>
      <c r="G113" s="26">
        <f>'[1]S-Múl'!$F$62</f>
        <v>0.94444444444444442</v>
      </c>
      <c r="H113" s="24">
        <f>'[1]S-Múl'!$F$75</f>
        <v>0.7</v>
      </c>
      <c r="I113" s="24">
        <f>'[1]S-Múl'!$F$88</f>
        <v>0.58823529411764708</v>
      </c>
      <c r="J113" s="32">
        <f>'[1]S-Múl'!$F$101</f>
        <v>0.8125</v>
      </c>
      <c r="K113" s="32">
        <f>'[1]S-Múl'!$F$114</f>
        <v>0.78260869565217395</v>
      </c>
      <c r="L113" s="45"/>
      <c r="N113" s="20">
        <f t="shared" ref="N113:N122" si="3">O113/9</f>
        <v>18.888888888888889</v>
      </c>
      <c r="O113" s="1">
        <f>23+17+17+19+18+20+17+16+23</f>
        <v>170</v>
      </c>
    </row>
    <row r="114" spans="1:16" x14ac:dyDescent="0.25">
      <c r="A114" s="1">
        <v>2</v>
      </c>
      <c r="B114" s="60" t="s">
        <v>31</v>
      </c>
      <c r="C114" s="25">
        <f>'[1]S-Múl'!$F$9</f>
        <v>0.14285714285714285</v>
      </c>
      <c r="D114" s="24">
        <f>'[1]S-Múl'!$F$23</f>
        <v>0.58064516129032262</v>
      </c>
      <c r="E114" s="33">
        <f>'[1]S-Múl'!$F$37</f>
        <v>0.29032258064516131</v>
      </c>
      <c r="F114" s="32">
        <f>'[1]S-Múl'!$F$50</f>
        <v>0.8529411764705882</v>
      </c>
      <c r="G114" s="24">
        <f>'[1]S-Múl'!$F$63</f>
        <v>0.72727272727272729</v>
      </c>
      <c r="H114" s="24">
        <f>'[1]S-Múl'!$F$76</f>
        <v>0.5</v>
      </c>
      <c r="I114" s="24">
        <f>'[1]S-Múl'!$F$89</f>
        <v>0.5</v>
      </c>
      <c r="J114" s="32">
        <f>'[1]S-Múl'!$F$102</f>
        <v>0.82758620689655171</v>
      </c>
      <c r="K114" s="32">
        <f>'[1]S-Múl'!$F$115</f>
        <v>0.75</v>
      </c>
      <c r="L114" s="44"/>
      <c r="N114" s="20">
        <f t="shared" si="3"/>
        <v>29.222222222222221</v>
      </c>
      <c r="O114" s="1">
        <f>21+31+31+34+33+30+26+29+28</f>
        <v>263</v>
      </c>
      <c r="P114" s="11" t="s">
        <v>246</v>
      </c>
    </row>
    <row r="115" spans="1:16" x14ac:dyDescent="0.25">
      <c r="A115" s="1">
        <v>3</v>
      </c>
      <c r="B115" s="60" t="s">
        <v>32</v>
      </c>
      <c r="C115" s="23">
        <f>'[1]S-Múl'!$F$10</f>
        <v>3.3333333333333333E-2</v>
      </c>
      <c r="D115" s="25">
        <f>'[1]S-Múl'!$F$24</f>
        <v>0.22222222222222221</v>
      </c>
      <c r="E115" s="25">
        <f>'[1]S-Múl'!$F$38</f>
        <v>0.10714285714285714</v>
      </c>
      <c r="F115" s="24">
        <f>'[1]S-Múl'!$F$51</f>
        <v>0.53846153846153844</v>
      </c>
      <c r="G115" s="23">
        <f>'[1]S-Múl'!$F$64</f>
        <v>0.05</v>
      </c>
      <c r="H115" s="23">
        <f>'[1]S-Múl'!$F$77</f>
        <v>7.6923076923076927E-2</v>
      </c>
      <c r="I115" s="25">
        <f>'[1]S-Múl'!$F$90</f>
        <v>0.20833333333333334</v>
      </c>
      <c r="J115" s="24">
        <f>'[1]S-Múl'!$F$103</f>
        <v>0.58333333333333337</v>
      </c>
      <c r="K115" s="24">
        <f>'[1]S-Múl'!$F$116</f>
        <v>0.6</v>
      </c>
      <c r="L115" s="44"/>
      <c r="N115" s="20">
        <f t="shared" si="3"/>
        <v>25.555555555555557</v>
      </c>
      <c r="O115" s="1">
        <f>30+27+28+26+20+26+24+24+25</f>
        <v>230</v>
      </c>
      <c r="P115" s="10" t="s">
        <v>247</v>
      </c>
    </row>
    <row r="116" spans="1:16" x14ac:dyDescent="0.25">
      <c r="A116" s="1">
        <v>4</v>
      </c>
      <c r="B116" s="60" t="s">
        <v>38</v>
      </c>
      <c r="C116" s="23">
        <f>'[1]S-Múl'!$F$11</f>
        <v>5.8823529411764705E-2</v>
      </c>
      <c r="D116" s="23">
        <f>'[1]S-Múl'!$F$25</f>
        <v>4.3478260869565216E-2</v>
      </c>
      <c r="E116" s="23">
        <f>'[1]S-Múl'!$F$39</f>
        <v>0</v>
      </c>
      <c r="F116" s="33">
        <f>'[1]S-Múl'!$F$52</f>
        <v>0.32</v>
      </c>
      <c r="G116" s="23">
        <f>'[1]S-Múl'!$F$65</f>
        <v>0</v>
      </c>
      <c r="H116" s="25">
        <f>'[1]S-Múl'!$F$78</f>
        <v>0.15625</v>
      </c>
      <c r="I116" s="23">
        <f>'[1]S-Múl'!$F$91</f>
        <v>0.04</v>
      </c>
      <c r="J116" s="25">
        <f>'[1]S-Múl'!$F$104</f>
        <v>0.19230769230769232</v>
      </c>
      <c r="K116" s="25">
        <f>'[1]S-Múl'!$F$117</f>
        <v>0.10714285714285714</v>
      </c>
      <c r="L116" s="44"/>
      <c r="N116" s="20">
        <f t="shared" si="3"/>
        <v>23.777777777777779</v>
      </c>
      <c r="O116" s="1">
        <f>17+23+18+25+20+32+25+26+28</f>
        <v>214</v>
      </c>
      <c r="P116" s="2" t="s">
        <v>248</v>
      </c>
    </row>
    <row r="117" spans="1:16" x14ac:dyDescent="0.25">
      <c r="A117" s="1">
        <v>5</v>
      </c>
      <c r="B117" s="60" t="s">
        <v>37</v>
      </c>
      <c r="C117" s="23">
        <f>'[1]S-Múl'!$F$12</f>
        <v>3.8461538461538464E-2</v>
      </c>
      <c r="D117" s="23">
        <f>'[1]S-Múl'!$F$26</f>
        <v>5.7142857142857141E-2</v>
      </c>
      <c r="E117" s="23">
        <f>'[1]S-Múl'!$F$40</f>
        <v>2.7777777777777776E-2</v>
      </c>
      <c r="F117" s="23">
        <f>'[1]S-Múl'!$F$53</f>
        <v>8.3333333333333329E-2</v>
      </c>
      <c r="G117" s="23">
        <f>'[1]S-Múl'!$F$66</f>
        <v>6.4516129032258063E-2</v>
      </c>
      <c r="H117" s="25">
        <f>'[1]S-Múl'!$F$79</f>
        <v>0.1</v>
      </c>
      <c r="I117" s="25">
        <f>'[1]S-Múl'!$F$92</f>
        <v>0.10344827586206896</v>
      </c>
      <c r="J117" s="25">
        <f>'[1]S-Múl'!$F$105</f>
        <v>0.10256410256410256</v>
      </c>
      <c r="K117" s="24">
        <f>'[1]S-Múl'!$F$118</f>
        <v>0.6097560975609756</v>
      </c>
      <c r="L117" s="44"/>
      <c r="N117" s="20">
        <f t="shared" si="3"/>
        <v>33.222222222222221</v>
      </c>
      <c r="O117" s="1">
        <f>26+35+36+36+31+30+25+39+41</f>
        <v>299</v>
      </c>
      <c r="P117" s="9" t="s">
        <v>249</v>
      </c>
    </row>
    <row r="118" spans="1:16" x14ac:dyDescent="0.25">
      <c r="A118" s="1">
        <v>6</v>
      </c>
      <c r="B118" s="22" t="s">
        <v>204</v>
      </c>
      <c r="C118" s="25">
        <f>'[1]S-Múl'!$F$13</f>
        <v>0.10256410256410256</v>
      </c>
      <c r="D118" s="25">
        <f>'[1]S-Múl'!$F$27</f>
        <v>0.16279069767441862</v>
      </c>
      <c r="E118" s="25">
        <f>'[1]S-Múl'!$F$41</f>
        <v>0.16279069767441862</v>
      </c>
      <c r="F118" s="24">
        <f>'[1]S-Múl'!$F$54</f>
        <v>0.65789473684210531</v>
      </c>
      <c r="G118" s="25">
        <f>'[1]S-Múl'!$F$67</f>
        <v>0.15</v>
      </c>
      <c r="H118" s="33">
        <f>'[1]S-Múl'!$F$80</f>
        <v>0.34042553191489361</v>
      </c>
      <c r="I118" s="33">
        <f>'[1]S-Múl'!$F$93</f>
        <v>0.40425531914893614</v>
      </c>
      <c r="J118" s="24">
        <f>'[1]S-Múl'!$F$106</f>
        <v>0.5</v>
      </c>
      <c r="K118" s="24">
        <f>'[1]S-Múl'!$F$119</f>
        <v>0.72881355932203384</v>
      </c>
      <c r="L118" s="44"/>
      <c r="N118" s="20">
        <f t="shared" si="3"/>
        <v>46</v>
      </c>
      <c r="O118" s="1">
        <f>39+43+43+38+40+47+47+58+59</f>
        <v>414</v>
      </c>
      <c r="P118" s="8" t="s">
        <v>250</v>
      </c>
    </row>
    <row r="119" spans="1:16" x14ac:dyDescent="0.25">
      <c r="A119" s="1">
        <v>7</v>
      </c>
      <c r="B119" s="60" t="s">
        <v>36</v>
      </c>
      <c r="C119" s="23">
        <f>'[1]S-Múl'!$F$14</f>
        <v>4.3478260869565216E-2</v>
      </c>
      <c r="D119" s="23">
        <f>'[1]S-Múl'!$F$28</f>
        <v>3.125E-2</v>
      </c>
      <c r="E119" s="25">
        <f>'[1]S-Múl'!$F$42</f>
        <v>0.14285714285714285</v>
      </c>
      <c r="F119" s="33">
        <f>'[1]S-Múl'!$F$55</f>
        <v>0.30952380952380953</v>
      </c>
      <c r="G119" s="25">
        <f>'[1]S-Múl'!$F$68</f>
        <v>0.12903225806451613</v>
      </c>
      <c r="H119" s="25">
        <f>'[1]S-Múl'!$F$81</f>
        <v>0.12820512820512819</v>
      </c>
      <c r="I119" s="23">
        <f>'[1]S-Múl'!$F$94</f>
        <v>4.7619047619047616E-2</v>
      </c>
      <c r="J119" s="25">
        <f>'[1]S-Múl'!$F$107</f>
        <v>0.2413793103448276</v>
      </c>
      <c r="K119" s="24">
        <f>'[1]S-Múl'!$F$120</f>
        <v>0.67307692307692313</v>
      </c>
      <c r="L119" s="48"/>
      <c r="N119" s="20">
        <f t="shared" si="3"/>
        <v>38.555555555555557</v>
      </c>
      <c r="O119" s="1">
        <f>23+32+28+42+31+39+42+58+52</f>
        <v>347</v>
      </c>
      <c r="P119" s="7" t="s">
        <v>29</v>
      </c>
    </row>
    <row r="120" spans="1:16" x14ac:dyDescent="0.25">
      <c r="A120" s="1">
        <v>8</v>
      </c>
      <c r="B120" s="60" t="s">
        <v>35</v>
      </c>
      <c r="C120" s="23">
        <f>'[1]S-Múl'!$F$16</f>
        <v>7.3170731707317069E-2</v>
      </c>
      <c r="D120" s="23">
        <f>'[1]S-Múl'!$F$30</f>
        <v>8.8235294117647065E-2</v>
      </c>
      <c r="E120" s="25">
        <f>'[1]S-Múl'!$F$43</f>
        <v>0.11764705882352941</v>
      </c>
      <c r="F120" s="33">
        <f>'[1]S-Múl'!$F$56</f>
        <v>0.42424242424242425</v>
      </c>
      <c r="G120" s="25">
        <f>'[1]S-Múl'!$F$69</f>
        <v>0.203125</v>
      </c>
      <c r="H120" s="25">
        <f>'[1]S-Múl'!$F$82</f>
        <v>0.18571428571428572</v>
      </c>
      <c r="I120" s="33">
        <f>'[1]S-Múl'!$F$95</f>
        <v>0.44285714285714284</v>
      </c>
      <c r="J120" s="24">
        <f>'[1]S-Múl'!$F$108</f>
        <v>0.5</v>
      </c>
      <c r="K120" s="24">
        <f>'[1]S-Múl'!$F$121</f>
        <v>0.53424657534246578</v>
      </c>
      <c r="L120" s="44"/>
      <c r="N120" s="20">
        <f t="shared" si="3"/>
        <v>62.444444444444443</v>
      </c>
      <c r="O120" s="1">
        <f>52+50+51+66+64+70+70+66+73</f>
        <v>562</v>
      </c>
    </row>
    <row r="121" spans="1:16" x14ac:dyDescent="0.25">
      <c r="A121" s="1">
        <v>9</v>
      </c>
      <c r="B121" s="60" t="s">
        <v>34</v>
      </c>
      <c r="C121" s="25">
        <f>'[1]S-Múl'!$F$17</f>
        <v>0.13636363636363635</v>
      </c>
      <c r="D121" s="23">
        <f>'[1]S-Múl'!$F$31</f>
        <v>9.0909090909090912E-2</v>
      </c>
      <c r="E121" s="25">
        <f>'[1]S-Múl'!$F$44</f>
        <v>0.13043478260869565</v>
      </c>
      <c r="F121" s="23">
        <f>'[1]S-Múl'!$F$57</f>
        <v>0.05</v>
      </c>
      <c r="G121" s="23">
        <f>'[1]S-Múl'!$F$70</f>
        <v>7.407407407407407E-2</v>
      </c>
      <c r="H121" s="23">
        <f>'[1]S-Múl'!$F$83</f>
        <v>0</v>
      </c>
      <c r="I121" s="25">
        <f>'[1]S-Múl'!$F$96</f>
        <v>0.13333333333333333</v>
      </c>
      <c r="J121" s="24">
        <f>'[1]S-Múl'!$F$109</f>
        <v>0.51851851851851849</v>
      </c>
      <c r="K121" s="33">
        <f>'[1]S-Múl'!$F$122</f>
        <v>0.30434782608695654</v>
      </c>
      <c r="L121" s="44"/>
      <c r="N121" s="20">
        <f t="shared" si="3"/>
        <v>24.777777777777779</v>
      </c>
      <c r="O121" s="1">
        <f>22+22+23+20+27+29+30+27+23</f>
        <v>223</v>
      </c>
    </row>
    <row r="122" spans="1:16" ht="15.75" thickBot="1" x14ac:dyDescent="0.3">
      <c r="A122" s="1">
        <v>10</v>
      </c>
      <c r="B122" s="68" t="s">
        <v>33</v>
      </c>
      <c r="C122" s="41">
        <f>'[1]S-Múl'!$F$18</f>
        <v>5.128205128205128E-2</v>
      </c>
      <c r="D122" s="42">
        <f>'[1]S-Múl'!$F$32</f>
        <v>0.26666666666666666</v>
      </c>
      <c r="E122" s="41">
        <f>'[1]S-Múl'!$F$45</f>
        <v>0</v>
      </c>
      <c r="F122" s="40">
        <f>'[1]S-Múl'!$F$58</f>
        <v>0.11538461538461539</v>
      </c>
      <c r="G122" s="41">
        <f>'[1]S-Múl'!$F$71</f>
        <v>6.0606060606060608E-2</v>
      </c>
      <c r="H122" s="41">
        <f>'[1]S-Múl'!$F$84</f>
        <v>2.6315789473684209E-2</v>
      </c>
      <c r="I122" s="40">
        <f>'[1]S-Múl'!$F$97</f>
        <v>0.14285714285714285</v>
      </c>
      <c r="J122" s="43">
        <f>'[1]S-Múl'!$F$110</f>
        <v>0.65517241379310343</v>
      </c>
      <c r="K122" s="40">
        <f>'[1]S-Múl'!$F$123</f>
        <v>0.16666666666666666</v>
      </c>
      <c r="L122" s="46"/>
      <c r="N122" s="20">
        <f t="shared" si="3"/>
        <v>31.222222222222221</v>
      </c>
      <c r="O122" s="1">
        <f>39+30+28+26+33+38+28+29+30</f>
        <v>281</v>
      </c>
    </row>
    <row r="123" spans="1:16" x14ac:dyDescent="0.25">
      <c r="C123" s="6"/>
    </row>
    <row r="124" spans="1:16" s="4" customFormat="1" x14ac:dyDescent="0.25">
      <c r="A124" s="5"/>
      <c r="B124" s="4" t="s">
        <v>11</v>
      </c>
      <c r="C124" s="49">
        <f>'[1]S-Múl'!$F$19</f>
        <v>9.2465753424657529E-2</v>
      </c>
      <c r="D124" s="50">
        <f>'[1]S-Múl'!$F$33</f>
        <v>0.18387096774193548</v>
      </c>
      <c r="E124" s="50">
        <f>'[1]S-Múl'!$F$46</f>
        <v>0.14191419141914191</v>
      </c>
      <c r="F124" s="51">
        <f>'[1]S-Múl'!$F$59</f>
        <v>0.42168674698795183</v>
      </c>
      <c r="G124" s="50">
        <f>'[1]S-Múl'!$F$72</f>
        <v>0.22397476340694006</v>
      </c>
      <c r="H124" s="50">
        <f>'[1]S-Múl'!$F$85</f>
        <v>0.20498614958448755</v>
      </c>
      <c r="I124" s="51">
        <f>'[1]S-Múl'!$F$98</f>
        <v>0.27218934911242604</v>
      </c>
      <c r="J124" s="51">
        <f>'[1]S-Múl'!$F$111</f>
        <v>0.45430107526881719</v>
      </c>
      <c r="K124" s="52">
        <f>'[1]S-Múl'!$F$124</f>
        <v>0.55235602094240843</v>
      </c>
      <c r="L124" s="52">
        <f>226/400</f>
        <v>0.56499999999999995</v>
      </c>
      <c r="N124" s="20">
        <f>O124/9</f>
        <v>334.11111111111109</v>
      </c>
      <c r="O124" s="1">
        <f>292+310+303+332+317+361+338+372+382</f>
        <v>3007</v>
      </c>
    </row>
    <row r="125" spans="1:16" x14ac:dyDescent="0.25">
      <c r="B125" s="4" t="s">
        <v>193</v>
      </c>
      <c r="C125" s="50">
        <v>0.19900000000000001</v>
      </c>
      <c r="E125" s="50">
        <v>0.248</v>
      </c>
      <c r="F125" s="51">
        <v>0.312</v>
      </c>
      <c r="H125" s="51">
        <v>0.308</v>
      </c>
      <c r="I125" s="51">
        <v>0.26200000000000001</v>
      </c>
      <c r="J125" s="51">
        <v>0.48499999999999999</v>
      </c>
      <c r="K125" s="52">
        <v>0.53800000000000003</v>
      </c>
      <c r="L125" s="70">
        <v>0.53100000000000003</v>
      </c>
    </row>
    <row r="126" spans="1:16" x14ac:dyDescent="0.25">
      <c r="B126" t="s">
        <v>202</v>
      </c>
    </row>
    <row r="127" spans="1:16" x14ac:dyDescent="0.25">
      <c r="B127" s="13" t="s">
        <v>242</v>
      </c>
      <c r="I127"/>
      <c r="J127"/>
      <c r="K127"/>
    </row>
    <row r="128" spans="1:16" x14ac:dyDescent="0.25">
      <c r="B128" s="13" t="s">
        <v>232</v>
      </c>
      <c r="G128"/>
      <c r="H128"/>
      <c r="I128"/>
      <c r="K128"/>
      <c r="L128"/>
    </row>
    <row r="129" spans="1:16" x14ac:dyDescent="0.25">
      <c r="B129" s="13" t="s">
        <v>233</v>
      </c>
      <c r="G129"/>
      <c r="H129"/>
      <c r="I129"/>
      <c r="K129"/>
      <c r="L129"/>
    </row>
    <row r="130" spans="1:16" x14ac:dyDescent="0.25">
      <c r="E130" s="1" t="s">
        <v>28</v>
      </c>
    </row>
    <row r="132" spans="1:16" ht="18.75" x14ac:dyDescent="0.3">
      <c r="B132" s="75" t="s">
        <v>12</v>
      </c>
      <c r="E132" s="3"/>
      <c r="L132" s="12"/>
      <c r="N132" s="5" t="s">
        <v>26</v>
      </c>
      <c r="O132" s="5" t="s">
        <v>189</v>
      </c>
    </row>
    <row r="133" spans="1:16" s="4" customFormat="1" ht="15.75" thickBot="1" x14ac:dyDescent="0.3">
      <c r="A133" s="5"/>
      <c r="C133" s="27">
        <v>1874</v>
      </c>
      <c r="D133" s="27">
        <v>1877</v>
      </c>
      <c r="E133" s="28">
        <v>1881</v>
      </c>
      <c r="F133" s="28">
        <v>1886</v>
      </c>
      <c r="G133" s="28">
        <v>1889</v>
      </c>
      <c r="H133" s="28">
        <v>1892</v>
      </c>
      <c r="I133" s="28">
        <v>1894</v>
      </c>
      <c r="J133" s="28">
        <v>1900</v>
      </c>
      <c r="K133" s="28">
        <v>1902</v>
      </c>
      <c r="L133" s="28">
        <v>1903</v>
      </c>
      <c r="N133" s="5" t="s">
        <v>27</v>
      </c>
      <c r="O133" s="5" t="s">
        <v>190</v>
      </c>
    </row>
    <row r="134" spans="1:16" x14ac:dyDescent="0.25">
      <c r="A134" s="1">
        <v>1</v>
      </c>
      <c r="B134" s="60" t="s">
        <v>13</v>
      </c>
      <c r="C134" s="23">
        <f>'[1]N-Múl'!$F$8</f>
        <v>0.05</v>
      </c>
      <c r="D134" s="23">
        <f>'[1]N-Múl'!$F$21</f>
        <v>0</v>
      </c>
      <c r="E134" s="23">
        <f>'[1]N-Múl'!$F$34</f>
        <v>0</v>
      </c>
      <c r="F134" s="23">
        <f>'[1]N-Múl'!$F$47</f>
        <v>0</v>
      </c>
      <c r="G134" s="23">
        <f>'[1]N-Múl'!$F$60</f>
        <v>0</v>
      </c>
      <c r="H134" s="23">
        <f>'[1]N-Múl'!$F$74</f>
        <v>0</v>
      </c>
      <c r="I134" s="23">
        <f>'[1]N-Múl'!$F$88</f>
        <v>0</v>
      </c>
      <c r="J134" s="23">
        <f>'[1]N-Múl'!$F$102</f>
        <v>3.0303030303030304E-2</v>
      </c>
      <c r="K134" s="25">
        <f>'[1]N-Múl'!$F$117</f>
        <v>0.1951219512195122</v>
      </c>
      <c r="L134" s="34">
        <f>'[1]N-Múl'!$F$132</f>
        <v>0.17647058823529413</v>
      </c>
      <c r="N134" s="20">
        <f>O134/10</f>
        <v>25.8</v>
      </c>
      <c r="O134" s="1">
        <f>20+25+29+25+17+15+19+33+41+34</f>
        <v>258</v>
      </c>
      <c r="P134" s="11" t="s">
        <v>246</v>
      </c>
    </row>
    <row r="135" spans="1:16" x14ac:dyDescent="0.25">
      <c r="A135" s="1">
        <v>2</v>
      </c>
      <c r="B135" s="60" t="s">
        <v>14</v>
      </c>
      <c r="C135" s="23">
        <f>'[1]N-Múl'!$F$9</f>
        <v>2.4390243902439025E-2</v>
      </c>
      <c r="D135" s="23">
        <f>'[1]N-Múl'!$F$22</f>
        <v>0</v>
      </c>
      <c r="E135" s="23">
        <f>'[1]N-Múl'!$F$35</f>
        <v>8.5365853658536592E-2</v>
      </c>
      <c r="F135" s="23">
        <f>'[1]N-Múl'!$F$48</f>
        <v>6.7567567567567571E-2</v>
      </c>
      <c r="G135" s="24">
        <f>'[1]N-Múl'!$F$61</f>
        <v>0.5</v>
      </c>
      <c r="H135" s="23">
        <f>'[1]N-Múl'!$F$75</f>
        <v>3.5714285714285712E-2</v>
      </c>
      <c r="I135" s="23">
        <f>'[1]N-Múl'!$F$89</f>
        <v>3.896103896103896E-2</v>
      </c>
      <c r="J135" s="24">
        <f>'[1]N-Múl'!$F$103</f>
        <v>0.73684210526315785</v>
      </c>
      <c r="K135" s="32">
        <f>'[1]N-Múl'!$F$118</f>
        <v>0.76146788990825687</v>
      </c>
      <c r="L135" s="33">
        <f>'[1]N-Múl'!$F$133</f>
        <v>0.29464285714285715</v>
      </c>
      <c r="N135" s="20">
        <f>O135/10</f>
        <v>86.5</v>
      </c>
      <c r="O135" s="1">
        <f>82+80+82+74+70+84+77+95+109+112</f>
        <v>865</v>
      </c>
      <c r="P135" s="10" t="s">
        <v>247</v>
      </c>
    </row>
    <row r="136" spans="1:16" x14ac:dyDescent="0.25">
      <c r="A136" s="1">
        <v>3</v>
      </c>
      <c r="B136" s="60" t="s">
        <v>24</v>
      </c>
      <c r="C136" s="19"/>
      <c r="D136" s="19"/>
      <c r="E136" s="19"/>
      <c r="F136" s="19"/>
      <c r="G136" s="33">
        <f>'[1]N-Múl'!$F$62</f>
        <v>0.44444444444444442</v>
      </c>
      <c r="H136" s="25">
        <f>'[1]N-Múl'!$F$76</f>
        <v>0.15384615384615385</v>
      </c>
      <c r="I136" s="25">
        <f>'[1]N-Múl'!$F$90</f>
        <v>0.22727272727272727</v>
      </c>
      <c r="J136" s="33">
        <f>'[1]N-Múl'!$F$104</f>
        <v>0.46666666666666667</v>
      </c>
      <c r="K136" s="32">
        <f>'[1]N-Múl'!$F$119</f>
        <v>0.82758620689655171</v>
      </c>
      <c r="L136" s="24">
        <f>'[1]N-Múl'!$F$134</f>
        <v>0.625</v>
      </c>
      <c r="N136" s="20">
        <f>O136/6</f>
        <v>27.666666666666668</v>
      </c>
      <c r="O136" s="1">
        <f>27+26+22+30+29+32</f>
        <v>166</v>
      </c>
      <c r="P136" s="2" t="s">
        <v>248</v>
      </c>
    </row>
    <row r="137" spans="1:16" x14ac:dyDescent="0.25">
      <c r="A137" s="1">
        <v>4</v>
      </c>
      <c r="B137" s="69" t="s">
        <v>25</v>
      </c>
      <c r="C137" s="19"/>
      <c r="D137" s="19"/>
      <c r="E137" s="19"/>
      <c r="F137" s="19"/>
      <c r="G137" s="26">
        <f>'[1]N-Múl'!$F$63</f>
        <v>0.9375</v>
      </c>
      <c r="H137" s="32">
        <f>'[1]N-Múl'!$F$77</f>
        <v>0.82352941176470584</v>
      </c>
      <c r="I137" s="32">
        <f>'[1]N-Múl'!$F$91</f>
        <v>0.8666666666666667</v>
      </c>
      <c r="J137" s="26">
        <f>'[1]N-Múl'!$F$105</f>
        <v>0.94444444444444442</v>
      </c>
      <c r="K137" s="32">
        <f>'[1]N-Múl'!$F$120</f>
        <v>0.8666666666666667</v>
      </c>
      <c r="L137" s="24">
        <f>'[1]N-Múl'!$F$135</f>
        <v>0.58823529411764708</v>
      </c>
      <c r="N137" s="5">
        <f>O137/6</f>
        <v>16</v>
      </c>
      <c r="O137" s="1">
        <f>16+17+15+18+14+16</f>
        <v>96</v>
      </c>
      <c r="P137" s="9" t="s">
        <v>249</v>
      </c>
    </row>
    <row r="138" spans="1:16" x14ac:dyDescent="0.25">
      <c r="A138" s="1">
        <v>5</v>
      </c>
      <c r="B138" s="22" t="s">
        <v>15</v>
      </c>
      <c r="C138" s="33">
        <f>'[1]N-Múl'!$F$10</f>
        <v>0.45454545454545453</v>
      </c>
      <c r="D138" s="33">
        <f>'[1]N-Múl'!$F$23</f>
        <v>0.48484848484848486</v>
      </c>
      <c r="E138" s="24">
        <f>'[1]N-Múl'!$F$36</f>
        <v>0.6097560975609756</v>
      </c>
      <c r="F138" s="24">
        <f>'[1]N-Múl'!$F$49</f>
        <v>0.61702127659574468</v>
      </c>
      <c r="G138" s="18"/>
      <c r="H138" s="18"/>
      <c r="I138" s="18"/>
      <c r="J138" s="18"/>
      <c r="K138" s="18"/>
      <c r="L138" s="18"/>
      <c r="N138" s="20">
        <f>O138/4</f>
        <v>41.25</v>
      </c>
      <c r="O138" s="1">
        <f>44+33+41+47</f>
        <v>165</v>
      </c>
      <c r="P138" s="8" t="s">
        <v>250</v>
      </c>
    </row>
    <row r="139" spans="1:16" x14ac:dyDescent="0.25">
      <c r="A139" s="1">
        <v>6</v>
      </c>
      <c r="B139" s="60" t="s">
        <v>16</v>
      </c>
      <c r="C139" s="32">
        <f>'[1]N-Múl'!$F$11</f>
        <v>0.75</v>
      </c>
      <c r="D139" s="32">
        <f>'[1]N-Múl'!$F$24</f>
        <v>0.86363636363636365</v>
      </c>
      <c r="E139" s="32">
        <f>'[1]N-Múl'!$F$37</f>
        <v>0.88461538461538458</v>
      </c>
      <c r="F139" s="32">
        <f>'[1]N-Múl'!$F$50</f>
        <v>0.81481481481481477</v>
      </c>
      <c r="G139" s="32">
        <f>'[1]N-Múl'!$F$64</f>
        <v>0.75</v>
      </c>
      <c r="H139" s="24">
        <f>'[1]N-Múl'!$F$78</f>
        <v>0.52941176470588236</v>
      </c>
      <c r="I139" s="24">
        <f>'[1]N-Múl'!$F$92</f>
        <v>0.55555555555555558</v>
      </c>
      <c r="J139" s="32">
        <f>'[1]N-Múl'!$F$106</f>
        <v>0.7857142857142857</v>
      </c>
      <c r="K139" s="32">
        <f>'[1]N-Múl'!$F$121</f>
        <v>0.8571428571428571</v>
      </c>
      <c r="L139" s="32">
        <f>'[1]N-Múl'!$F$136</f>
        <v>0.8571428571428571</v>
      </c>
      <c r="N139" s="5">
        <f>O139/10</f>
        <v>27</v>
      </c>
      <c r="O139" s="1">
        <f>24+22+26+27+32+29+27+28+27+28</f>
        <v>270</v>
      </c>
      <c r="P139" s="7" t="s">
        <v>29</v>
      </c>
    </row>
    <row r="140" spans="1:16" x14ac:dyDescent="0.25">
      <c r="A140" s="1">
        <v>7</v>
      </c>
      <c r="B140" s="60" t="s">
        <v>17</v>
      </c>
      <c r="C140" s="33">
        <f>'[1]N-Múl'!$F$12</f>
        <v>0.31818181818181818</v>
      </c>
      <c r="D140" s="24">
        <f>'[1]N-Múl'!$F$25</f>
        <v>0.57894736842105265</v>
      </c>
      <c r="E140" s="24">
        <f>'[1]N-Múl'!$F$38</f>
        <v>0.66666666666666663</v>
      </c>
      <c r="F140" s="24">
        <f>'[1]N-Múl'!$F$51</f>
        <v>0.73684210526315785</v>
      </c>
      <c r="G140" s="26">
        <f>'[1]N-Múl'!$F$65</f>
        <v>0.95</v>
      </c>
      <c r="H140" s="33">
        <f>'[1]N-Múl'!$F$79</f>
        <v>0.45</v>
      </c>
      <c r="I140" s="25">
        <f>'[1]N-Múl'!$F$93</f>
        <v>0.22727272727272727</v>
      </c>
      <c r="J140" s="32">
        <f>'[1]N-Múl'!$F$107</f>
        <v>0.8</v>
      </c>
      <c r="K140" s="32">
        <f>'[1]N-Múl'!$F$122</f>
        <v>0.75</v>
      </c>
      <c r="L140" s="24">
        <f>'[1]N-Múl'!$F$137</f>
        <v>0.68421052631578949</v>
      </c>
      <c r="N140" s="20">
        <f t="shared" ref="N140:N144" si="4">O140/10</f>
        <v>19.899999999999999</v>
      </c>
      <c r="O140" s="1">
        <f>22+19+18+19+20+20+22+20+20+19</f>
        <v>199</v>
      </c>
    </row>
    <row r="141" spans="1:16" x14ac:dyDescent="0.25">
      <c r="A141" s="1">
        <v>8</v>
      </c>
      <c r="B141" s="60" t="s">
        <v>18</v>
      </c>
      <c r="C141" s="25">
        <f>'[1]N-Múl'!$F$13</f>
        <v>0.15789473684210525</v>
      </c>
      <c r="D141" s="33">
        <f>'[1]N-Múl'!$F$26</f>
        <v>0.45</v>
      </c>
      <c r="E141" s="24">
        <f>'[1]N-Múl'!$F$39</f>
        <v>0.625</v>
      </c>
      <c r="F141" s="24">
        <f>'[1]N-Múl'!$F$52</f>
        <v>0.5</v>
      </c>
      <c r="G141" s="26">
        <f>'[1]N-Múl'!$F$66</f>
        <v>1</v>
      </c>
      <c r="H141" s="25">
        <f>'[1]N-Múl'!$F$80</f>
        <v>0.18181818181818182</v>
      </c>
      <c r="I141" s="23">
        <f>'[1]N-Múl'!$F$94</f>
        <v>0</v>
      </c>
      <c r="J141" s="25">
        <f>'[1]N-Múl'!$F$108</f>
        <v>0.15789473684210525</v>
      </c>
      <c r="K141" s="32">
        <f>'[1]N-Múl'!$F$123</f>
        <v>0.78947368421052633</v>
      </c>
      <c r="L141" s="25">
        <f>'[1]N-Múl'!$F$138</f>
        <v>0.17391304347826086</v>
      </c>
      <c r="N141" s="20">
        <f t="shared" si="4"/>
        <v>21.3</v>
      </c>
      <c r="O141" s="1">
        <f>19+20+24+24+21+22+22+19+19+23</f>
        <v>213</v>
      </c>
    </row>
    <row r="142" spans="1:16" x14ac:dyDescent="0.25">
      <c r="A142" s="1">
        <v>9</v>
      </c>
      <c r="B142" s="60" t="s">
        <v>19</v>
      </c>
      <c r="C142" s="23">
        <f>'[1]N-Múl'!$F$14</f>
        <v>6.25E-2</v>
      </c>
      <c r="D142" s="33">
        <f>'[1]N-Múl'!$F$27</f>
        <v>0.3611111111111111</v>
      </c>
      <c r="E142" s="25">
        <f>'[1]N-Múl'!$F$40</f>
        <v>0.23529411764705882</v>
      </c>
      <c r="F142" s="33">
        <f>'[1]N-Múl'!$F$53</f>
        <v>0.32142857142857145</v>
      </c>
      <c r="G142" s="24">
        <f>'[1]N-Múl'!$F$67</f>
        <v>0.74193548387096775</v>
      </c>
      <c r="H142" s="33">
        <f>'[1]N-Múl'!$F$81</f>
        <v>0.27777777777777779</v>
      </c>
      <c r="I142" s="25">
        <f>'[1]N-Múl'!$F$95</f>
        <v>0.17647058823529413</v>
      </c>
      <c r="J142" s="33">
        <f>'[1]N-Múl'!$F$109</f>
        <v>0.45161290322580644</v>
      </c>
      <c r="K142" s="24">
        <f>'[1]N-Múl'!$F$124</f>
        <v>0.54838709677419351</v>
      </c>
      <c r="L142" s="39">
        <f>'[1]N-Múl'!$F$139</f>
        <v>0.65625</v>
      </c>
      <c r="N142" s="20">
        <f t="shared" si="4"/>
        <v>32.6</v>
      </c>
      <c r="O142" s="1">
        <f>32+36+34+28+32+36+34+31+31+32</f>
        <v>326</v>
      </c>
    </row>
    <row r="143" spans="1:16" x14ac:dyDescent="0.25">
      <c r="A143" s="1">
        <v>10</v>
      </c>
      <c r="B143" s="60" t="s">
        <v>20</v>
      </c>
      <c r="C143" s="23">
        <f>'[1]N-Múl'!$F$15</f>
        <v>5.7142857142857141E-2</v>
      </c>
      <c r="D143" s="23">
        <f>'[1]N-Múl'!$F$28</f>
        <v>0</v>
      </c>
      <c r="E143" s="23">
        <f>'[1]N-Múl'!$F$41</f>
        <v>5.5555555555555552E-2</v>
      </c>
      <c r="F143" s="23">
        <f>'[1]N-Múl'!$F$54</f>
        <v>8.5714285714285715E-2</v>
      </c>
      <c r="G143" s="33">
        <f>'[1]N-Múl'!$F$68</f>
        <v>0.30769230769230771</v>
      </c>
      <c r="H143" s="25">
        <f>'[1]N-Múl'!$F$82</f>
        <v>0.10810810810810811</v>
      </c>
      <c r="I143" s="23">
        <f>'[1]N-Múl'!$F$96</f>
        <v>0</v>
      </c>
      <c r="J143" s="33">
        <f>'[1]N-Múl'!$F$110</f>
        <v>0.48571428571428571</v>
      </c>
      <c r="K143" s="25">
        <f>'[1]N-Múl'!$F$125</f>
        <v>0.10810810810810811</v>
      </c>
      <c r="L143" s="33">
        <f>'[1]N-Múl'!$F$140</f>
        <v>0.41025641025641024</v>
      </c>
      <c r="N143" s="20">
        <f t="shared" si="4"/>
        <v>37.9</v>
      </c>
      <c r="O143" s="1">
        <f>35+39+36+35+39+37+48+35+36+39</f>
        <v>379</v>
      </c>
    </row>
    <row r="144" spans="1:16" x14ac:dyDescent="0.25">
      <c r="A144" s="1">
        <v>11</v>
      </c>
      <c r="B144" s="60" t="s">
        <v>21</v>
      </c>
      <c r="C144" s="25">
        <f>'[1]N-Múl'!$F$16</f>
        <v>0.1</v>
      </c>
      <c r="D144" s="23">
        <f>'[1]N-Múl'!$F$29</f>
        <v>0</v>
      </c>
      <c r="E144" s="33">
        <f>'[1]N-Múl'!$F$42</f>
        <v>0.375</v>
      </c>
      <c r="F144" s="33">
        <f>'[1]N-Múl'!$F$55</f>
        <v>0.33333333333333331</v>
      </c>
      <c r="G144" s="33">
        <f>'[1]N-Múl'!$F$69</f>
        <v>0.33333333333333331</v>
      </c>
      <c r="H144" s="25">
        <f>'[1]N-Múl'!$F$83</f>
        <v>0.1111111111111111</v>
      </c>
      <c r="I144" s="23">
        <f>'[1]N-Múl'!$F$97</f>
        <v>0</v>
      </c>
      <c r="J144" s="25">
        <f>'[1]N-Múl'!$F$111</f>
        <v>0.2</v>
      </c>
      <c r="K144" s="25">
        <f>'[1]N-Múl'!$F$126</f>
        <v>0.2</v>
      </c>
      <c r="L144" s="24">
        <f>'[1]N-Múl'!$F$141</f>
        <v>0.72727272727272729</v>
      </c>
      <c r="N144" s="20">
        <f t="shared" si="4"/>
        <v>9.4</v>
      </c>
      <c r="O144" s="1">
        <f>10+8+8+9+9+9+10+10+10+11</f>
        <v>94</v>
      </c>
    </row>
    <row r="145" spans="1:16" x14ac:dyDescent="0.25">
      <c r="A145" s="1">
        <v>12</v>
      </c>
      <c r="B145" s="60" t="s">
        <v>22</v>
      </c>
      <c r="C145" s="25">
        <f>'[1]N-Múl'!$F$17</f>
        <v>0.22222222222222221</v>
      </c>
      <c r="D145" s="25">
        <f>'[1]N-Múl'!$F$30</f>
        <v>0.10526315789473684</v>
      </c>
      <c r="E145" s="23">
        <f>'[1]N-Múl'!$F$43</f>
        <v>5.8823529411764705E-2</v>
      </c>
      <c r="F145" s="25">
        <f>'[1]N-Múl'!$F$56</f>
        <v>0.12</v>
      </c>
      <c r="G145" s="33">
        <f>'[1]N-Múl'!$F$70</f>
        <v>0.35294117647058826</v>
      </c>
      <c r="H145" s="25">
        <f>'[1]N-Múl'!$F$84</f>
        <v>0.21212121212121213</v>
      </c>
      <c r="I145" s="23">
        <f>'[1]N-Múl'!$F$98</f>
        <v>3.125E-2</v>
      </c>
      <c r="J145" s="24">
        <f>'[1]N-Múl'!$F$112</f>
        <v>0.63157894736842102</v>
      </c>
      <c r="K145" s="24">
        <f>'[1]N-Múl'!$F$127</f>
        <v>0.625</v>
      </c>
      <c r="L145" s="24">
        <f>'[1]N-Múl'!$F$142</f>
        <v>0.53846153846153844</v>
      </c>
      <c r="N145" s="20">
        <f>O145/9</f>
        <v>23.111111111111111</v>
      </c>
      <c r="O145" s="1">
        <f>18+19+17+0+33+33+32+19+24+13</f>
        <v>208</v>
      </c>
    </row>
    <row r="146" spans="1:16" ht="15.75" thickBot="1" x14ac:dyDescent="0.3">
      <c r="A146" s="1">
        <v>13</v>
      </c>
      <c r="B146" s="61" t="s">
        <v>23</v>
      </c>
      <c r="C146" s="18"/>
      <c r="D146" s="18"/>
      <c r="E146" s="18"/>
      <c r="F146" s="18"/>
      <c r="G146" s="18"/>
      <c r="H146" s="18"/>
      <c r="I146" s="18"/>
      <c r="J146" s="30">
        <f>'[1]N-Múl'!$F$113</f>
        <v>0.64406779661016944</v>
      </c>
      <c r="K146" s="30">
        <f>'[1]N-Múl'!$F$128</f>
        <v>0.70886075949367089</v>
      </c>
      <c r="L146" s="30">
        <f>'[1]N-Múl'!$F$143</f>
        <v>0.6853932584269663</v>
      </c>
      <c r="N146" s="20">
        <f>O146/3</f>
        <v>75.666666666666671</v>
      </c>
      <c r="O146" s="1">
        <f>59+79+89</f>
        <v>227</v>
      </c>
    </row>
    <row r="147" spans="1:16" x14ac:dyDescent="0.25">
      <c r="C147" s="6"/>
    </row>
    <row r="148" spans="1:16" s="4" customFormat="1" x14ac:dyDescent="0.25">
      <c r="A148" s="5"/>
      <c r="B148" s="4" t="s">
        <v>11</v>
      </c>
      <c r="C148" s="14">
        <v>0.19600000000000001</v>
      </c>
      <c r="D148" s="14">
        <v>0.23300000000000001</v>
      </c>
      <c r="E148" s="15">
        <v>0.30399999999999999</v>
      </c>
      <c r="F148" s="15">
        <v>0.31900000000000001</v>
      </c>
      <c r="G148" s="16">
        <v>0.55700000000000005</v>
      </c>
      <c r="H148" s="14">
        <v>0.22600000000000001</v>
      </c>
      <c r="I148" s="14">
        <v>0.14599999999999999</v>
      </c>
      <c r="J148" s="16">
        <v>0.56699999999999995</v>
      </c>
      <c r="K148" s="16">
        <v>0.629</v>
      </c>
      <c r="L148" s="16">
        <v>0.5</v>
      </c>
      <c r="N148" s="20">
        <f>O148/10</f>
        <v>349.2</v>
      </c>
      <c r="O148" s="1">
        <f>306+301+316+313+316+328+328+397+439+448</f>
        <v>3492</v>
      </c>
    </row>
    <row r="149" spans="1:16" x14ac:dyDescent="0.25">
      <c r="B149" s="4" t="s">
        <v>193</v>
      </c>
      <c r="C149" s="50">
        <v>0.19900000000000001</v>
      </c>
      <c r="E149" s="50">
        <v>0.248</v>
      </c>
      <c r="F149" s="51">
        <v>0.312</v>
      </c>
      <c r="H149" s="51">
        <v>0.308</v>
      </c>
      <c r="I149" s="51">
        <v>0.26200000000000001</v>
      </c>
      <c r="J149" s="51">
        <v>0.48499999999999999</v>
      </c>
      <c r="K149" s="52">
        <v>0.53800000000000003</v>
      </c>
      <c r="L149" s="70">
        <v>0.53100000000000003</v>
      </c>
    </row>
    <row r="150" spans="1:16" x14ac:dyDescent="0.25">
      <c r="B150" t="s">
        <v>201</v>
      </c>
    </row>
    <row r="151" spans="1:16" x14ac:dyDescent="0.25">
      <c r="B151" t="s">
        <v>234</v>
      </c>
      <c r="H151" s="13"/>
      <c r="I151"/>
      <c r="J151"/>
      <c r="K151"/>
    </row>
    <row r="152" spans="1:16" x14ac:dyDescent="0.25">
      <c r="B152" s="13" t="s">
        <v>223</v>
      </c>
      <c r="C152"/>
      <c r="D152"/>
      <c r="E152"/>
      <c r="G152"/>
      <c r="H152"/>
      <c r="I152"/>
    </row>
    <row r="153" spans="1:16" x14ac:dyDescent="0.25">
      <c r="B153" s="13" t="s">
        <v>245</v>
      </c>
      <c r="C153"/>
      <c r="D153"/>
      <c r="E153"/>
      <c r="G153"/>
      <c r="H153"/>
      <c r="I153"/>
    </row>
    <row r="154" spans="1:16" x14ac:dyDescent="0.25">
      <c r="B154" s="13"/>
    </row>
    <row r="156" spans="1:16" ht="18.75" x14ac:dyDescent="0.3">
      <c r="B156" s="75" t="s">
        <v>82</v>
      </c>
      <c r="E156" s="3"/>
      <c r="L156" s="12"/>
      <c r="N156" s="5" t="s">
        <v>26</v>
      </c>
      <c r="O156" s="5" t="s">
        <v>189</v>
      </c>
    </row>
    <row r="157" spans="1:16" s="4" customFormat="1" ht="15.75" thickBot="1" x14ac:dyDescent="0.3">
      <c r="A157" s="5"/>
      <c r="C157" s="27">
        <v>1874</v>
      </c>
      <c r="D157" s="28">
        <v>1880</v>
      </c>
      <c r="E157" s="28">
        <v>1886</v>
      </c>
      <c r="F157" s="28">
        <v>1892</v>
      </c>
      <c r="G157" s="28">
        <v>1894</v>
      </c>
      <c r="H157" s="28">
        <v>1900</v>
      </c>
      <c r="I157" s="28">
        <v>1902</v>
      </c>
      <c r="J157" s="28">
        <v>1903</v>
      </c>
      <c r="N157" s="5" t="s">
        <v>27</v>
      </c>
      <c r="O157" s="5" t="s">
        <v>190</v>
      </c>
    </row>
    <row r="158" spans="1:16" x14ac:dyDescent="0.25">
      <c r="A158" s="1">
        <v>1</v>
      </c>
      <c r="B158" s="60" t="s">
        <v>84</v>
      </c>
      <c r="C158" s="44"/>
      <c r="D158" s="33">
        <f>'[1]N-Þing'!$F$16</f>
        <v>0.44444444444444442</v>
      </c>
      <c r="E158" s="26">
        <f>'[1]N-Þing'!$F$24</f>
        <v>0.92307692307692313</v>
      </c>
      <c r="F158" s="33">
        <f>'[1]N-Þing'!$F$32</f>
        <v>0.32258064516129031</v>
      </c>
      <c r="G158" s="25">
        <f>'[1]N-Þing'!$F$40</f>
        <v>0.23333333333333334</v>
      </c>
      <c r="H158" s="24">
        <f>'[1]N-Þing'!$F$49</f>
        <v>0.73529411764705888</v>
      </c>
      <c r="I158" s="26">
        <f>'[1]N-Þing'!$F$58</f>
        <v>0.90909090909090906</v>
      </c>
      <c r="J158" s="24">
        <f>'[1]N-Þing'!$F$67</f>
        <v>0.5757575757575758</v>
      </c>
      <c r="N158" s="20">
        <f t="shared" ref="N158:N164" si="5">O158/7</f>
        <v>30.571428571428573</v>
      </c>
      <c r="O158" s="1">
        <f>27+26+31+30+34+33+33</f>
        <v>214</v>
      </c>
    </row>
    <row r="159" spans="1:16" x14ac:dyDescent="0.25">
      <c r="A159" s="1">
        <v>2</v>
      </c>
      <c r="B159" s="22" t="s">
        <v>85</v>
      </c>
      <c r="C159" s="44"/>
      <c r="D159" s="33">
        <f>'[1]N-Þing'!$F$17</f>
        <v>0.4642857142857143</v>
      </c>
      <c r="E159" s="24">
        <f>'[1]N-Þing'!$F$25</f>
        <v>0.58620689655172409</v>
      </c>
      <c r="F159" s="24">
        <f>'[1]N-Þing'!$F$33</f>
        <v>0.62068965517241381</v>
      </c>
      <c r="G159" s="33">
        <f>'[1]N-Þing'!$F$41</f>
        <v>0.29166666666666669</v>
      </c>
      <c r="H159" s="53"/>
      <c r="I159" s="53"/>
      <c r="J159" s="53"/>
      <c r="N159" s="20">
        <f>O159/4</f>
        <v>27.5</v>
      </c>
      <c r="O159" s="1">
        <f>28+29+29+24</f>
        <v>110</v>
      </c>
      <c r="P159" s="11" t="s">
        <v>246</v>
      </c>
    </row>
    <row r="160" spans="1:16" x14ac:dyDescent="0.25">
      <c r="A160" s="1">
        <v>3</v>
      </c>
      <c r="B160" s="22" t="s">
        <v>86</v>
      </c>
      <c r="C160" s="44"/>
      <c r="D160" s="53"/>
      <c r="E160" s="53"/>
      <c r="F160" s="53"/>
      <c r="G160" s="53"/>
      <c r="H160" s="33">
        <f>'[1]N-Þing'!$F$50</f>
        <v>0.3125</v>
      </c>
      <c r="I160" s="26">
        <f>'[1]N-Þing'!$F$59</f>
        <v>0.94117647058823528</v>
      </c>
      <c r="J160" s="24">
        <f>'[1]N-Þing'!$F$68</f>
        <v>0.70588235294117652</v>
      </c>
      <c r="N160" s="20">
        <f>O160/3</f>
        <v>16.666666666666668</v>
      </c>
      <c r="O160" s="1">
        <f>16+17+17</f>
        <v>50</v>
      </c>
      <c r="P160" s="10" t="s">
        <v>247</v>
      </c>
    </row>
    <row r="161" spans="1:16" x14ac:dyDescent="0.25">
      <c r="A161" s="1">
        <v>4</v>
      </c>
      <c r="B161" s="60" t="s">
        <v>87</v>
      </c>
      <c r="C161" s="44"/>
      <c r="D161" s="53"/>
      <c r="E161" s="53"/>
      <c r="F161" s="53"/>
      <c r="G161" s="53"/>
      <c r="H161" s="23">
        <f>'[1]N-Þing'!$F$51</f>
        <v>0</v>
      </c>
      <c r="I161" s="32">
        <f>'[1]N-Þing'!$F$60</f>
        <v>0.8571428571428571</v>
      </c>
      <c r="J161" s="33">
        <f>'[1]N-Þing'!$F$69</f>
        <v>0.2857142857142857</v>
      </c>
      <c r="N161" s="20">
        <f>O161/3</f>
        <v>7</v>
      </c>
      <c r="O161" s="1">
        <f>7+7+7</f>
        <v>21</v>
      </c>
      <c r="P161" s="2" t="s">
        <v>248</v>
      </c>
    </row>
    <row r="162" spans="1:16" x14ac:dyDescent="0.25">
      <c r="A162" s="1">
        <v>5</v>
      </c>
      <c r="B162" s="60" t="s">
        <v>88</v>
      </c>
      <c r="C162" s="44"/>
      <c r="D162" s="33">
        <f>'[1]N-Þing'!$F$18</f>
        <v>0.42857142857142855</v>
      </c>
      <c r="E162" s="24">
        <f>'[1]N-Þing'!$F$26</f>
        <v>0.5</v>
      </c>
      <c r="F162" s="33">
        <f>'[1]N-Þing'!$F$34</f>
        <v>0.36</v>
      </c>
      <c r="G162" s="23">
        <f>'[1]N-Þing'!$F$42</f>
        <v>8.6956521739130432E-2</v>
      </c>
      <c r="H162" s="23">
        <f>'[1]N-Þing'!$F$52</f>
        <v>4.3478260869565216E-2</v>
      </c>
      <c r="I162" s="33">
        <f>'[1]N-Þing'!$F$61</f>
        <v>0.36363636363636365</v>
      </c>
      <c r="J162" s="33">
        <f>'[1]N-Þing'!$F$70</f>
        <v>0.2608695652173913</v>
      </c>
      <c r="N162" s="20">
        <f t="shared" si="5"/>
        <v>24.571428571428573</v>
      </c>
      <c r="O162" s="1">
        <f>28+28+25+23+23+22+23</f>
        <v>172</v>
      </c>
      <c r="P162" s="9" t="s">
        <v>249</v>
      </c>
    </row>
    <row r="163" spans="1:16" x14ac:dyDescent="0.25">
      <c r="A163" s="1">
        <v>6</v>
      </c>
      <c r="B163" s="4" t="s">
        <v>200</v>
      </c>
      <c r="C163" s="58"/>
      <c r="D163" s="24">
        <f>'[1]N-Þing'!$F$19</f>
        <v>0.51515151515151514</v>
      </c>
      <c r="E163" s="23">
        <f>'[1]N-Þing'!$F$27</f>
        <v>2.3809523809523808E-2</v>
      </c>
      <c r="F163" s="25">
        <f>'[1]N-Þing'!$F$35</f>
        <v>0.13333333333333333</v>
      </c>
      <c r="G163" s="23">
        <f>'[1]N-Þing'!$F$43</f>
        <v>4.7619047619047616E-2</v>
      </c>
      <c r="H163" s="32">
        <f>'[1]N-Þing'!$F$53</f>
        <v>0.7857142857142857</v>
      </c>
      <c r="I163" s="25">
        <f>'[1]N-Þing'!$F$62</f>
        <v>0.12</v>
      </c>
      <c r="J163" s="23">
        <f>'[1]N-Þing'!$F$71</f>
        <v>3.8461538461538464E-2</v>
      </c>
      <c r="N163" s="20">
        <f t="shared" si="5"/>
        <v>29.285714285714285</v>
      </c>
      <c r="O163" s="1">
        <f>33+42+30+21+28+25+26</f>
        <v>205</v>
      </c>
      <c r="P163" s="8" t="s">
        <v>250</v>
      </c>
    </row>
    <row r="164" spans="1:16" ht="15.75" thickBot="1" x14ac:dyDescent="0.3">
      <c r="A164" s="1">
        <v>7</v>
      </c>
      <c r="B164" s="68" t="s">
        <v>89</v>
      </c>
      <c r="C164" s="46"/>
      <c r="D164" s="40">
        <f>'[1]N-Þing'!$F$20</f>
        <v>0.13513513513513514</v>
      </c>
      <c r="E164" s="41">
        <f>'[1]N-Þing'!$F$28</f>
        <v>6.4516129032258063E-2</v>
      </c>
      <c r="F164" s="41">
        <f>'[1]N-Þing'!$F$36</f>
        <v>0</v>
      </c>
      <c r="G164" s="41">
        <f>'[1]N-Þing'!$F$44</f>
        <v>0</v>
      </c>
      <c r="H164" s="55">
        <f>'[1]N-Þing'!$F$54</f>
        <v>0.8666666666666667</v>
      </c>
      <c r="I164" s="41">
        <f>'[1]N-Þing'!$F$63</f>
        <v>5.8823529411764705E-2</v>
      </c>
      <c r="J164" s="41">
        <f>'[1]N-Þing'!$F$72</f>
        <v>0</v>
      </c>
      <c r="N164" s="20">
        <f t="shared" si="5"/>
        <v>31.142857142857142</v>
      </c>
      <c r="O164" s="1">
        <f>37+31+28+23+30+34+35</f>
        <v>218</v>
      </c>
      <c r="P164" s="7" t="s">
        <v>29</v>
      </c>
    </row>
    <row r="165" spans="1:16" x14ac:dyDescent="0.25">
      <c r="C165" s="6"/>
    </row>
    <row r="166" spans="1:16" s="4" customFormat="1" x14ac:dyDescent="0.25">
      <c r="A166" s="5"/>
      <c r="B166" s="4" t="s">
        <v>11</v>
      </c>
      <c r="C166" s="47"/>
      <c r="D166" s="51">
        <f>'[1]N-Þing'!$F$21</f>
        <v>0.38562091503267976</v>
      </c>
      <c r="E166" s="51">
        <f>'[1]N-Þing'!$F$29</f>
        <v>0.37179487179487181</v>
      </c>
      <c r="F166" s="51">
        <f>'[1]N-Þing'!$F$37</f>
        <v>0.28671328671328672</v>
      </c>
      <c r="G166" s="50">
        <f>'[1]N-Þing'!$F$45</f>
        <v>0.14049586776859505</v>
      </c>
      <c r="H166" s="52">
        <f>'[1]N-Þing'!$F$55</f>
        <v>0.57246376811594202</v>
      </c>
      <c r="I166" s="51">
        <f>'[1]N-Þing'!$F$64</f>
        <v>0.47101449275362317</v>
      </c>
      <c r="J166" s="51">
        <f>'[1]N-Þing'!$F$73</f>
        <v>0.28368794326241137</v>
      </c>
      <c r="N166" s="20">
        <f>O166/7</f>
        <v>141.42857142857142</v>
      </c>
      <c r="O166" s="1">
        <f>153+156+143+121+138+138+141</f>
        <v>990</v>
      </c>
    </row>
    <row r="167" spans="1:16" x14ac:dyDescent="0.25">
      <c r="B167" s="4" t="s">
        <v>193</v>
      </c>
      <c r="C167" s="50">
        <v>0.19900000000000001</v>
      </c>
      <c r="D167" s="50">
        <v>0.248</v>
      </c>
      <c r="E167" s="51">
        <v>0.312</v>
      </c>
      <c r="F167" s="51">
        <v>0.308</v>
      </c>
      <c r="G167" s="51">
        <v>0.26200000000000001</v>
      </c>
      <c r="H167" s="51">
        <v>0.48499999999999999</v>
      </c>
      <c r="I167" s="52">
        <v>0.53800000000000003</v>
      </c>
      <c r="J167" s="70">
        <v>0.53100000000000003</v>
      </c>
    </row>
    <row r="168" spans="1:16" x14ac:dyDescent="0.25">
      <c r="B168" s="13" t="s">
        <v>199</v>
      </c>
    </row>
    <row r="169" spans="1:16" x14ac:dyDescent="0.25">
      <c r="B169" s="13" t="s">
        <v>83</v>
      </c>
    </row>
    <row r="170" spans="1:16" x14ac:dyDescent="0.25">
      <c r="B170" t="s">
        <v>224</v>
      </c>
    </row>
    <row r="173" spans="1:16" ht="18.75" x14ac:dyDescent="0.3">
      <c r="B173" s="75" t="s">
        <v>90</v>
      </c>
      <c r="E173" s="3"/>
      <c r="L173" s="12"/>
      <c r="N173" s="5" t="s">
        <v>26</v>
      </c>
      <c r="O173" s="5" t="s">
        <v>189</v>
      </c>
    </row>
    <row r="174" spans="1:16" s="4" customFormat="1" ht="15.75" thickBot="1" x14ac:dyDescent="0.3">
      <c r="A174" s="5"/>
      <c r="C174" s="27">
        <v>1874</v>
      </c>
      <c r="D174" s="28">
        <v>1880</v>
      </c>
      <c r="E174" s="28">
        <v>1886</v>
      </c>
      <c r="F174" s="28">
        <v>1892</v>
      </c>
      <c r="G174" s="28">
        <v>1894</v>
      </c>
      <c r="H174" s="28">
        <v>1900</v>
      </c>
      <c r="I174" s="28">
        <v>1902</v>
      </c>
      <c r="J174" s="28">
        <v>1903</v>
      </c>
      <c r="N174" s="5" t="s">
        <v>27</v>
      </c>
      <c r="O174" s="5" t="s">
        <v>190</v>
      </c>
    </row>
    <row r="175" spans="1:16" x14ac:dyDescent="0.25">
      <c r="A175" s="1">
        <v>1</v>
      </c>
      <c r="B175" s="60" t="s">
        <v>91</v>
      </c>
      <c r="C175" s="44"/>
      <c r="D175" s="23">
        <f>'[1]S-Þing'!$F$27</f>
        <v>7.8947368421052627E-2</v>
      </c>
      <c r="E175" s="23">
        <f>'[1]S-Þing'!$F$37</f>
        <v>7.8947368421052627E-2</v>
      </c>
      <c r="F175" s="33">
        <f>'[1]S-Þing'!$F$47</f>
        <v>0.28947368421052633</v>
      </c>
      <c r="G175" s="23">
        <f>'[1]S-Þing'!$F$57</f>
        <v>4.5454545454545456E-2</v>
      </c>
      <c r="H175" s="23">
        <f>'[1]S-Þing'!$F$68</f>
        <v>8.1632653061224483E-2</v>
      </c>
      <c r="I175" s="25">
        <f>'[1]S-Þing'!$F$79</f>
        <v>0.11666666666666667</v>
      </c>
      <c r="J175" s="23">
        <f>'[1]S-Þing'!$F$90</f>
        <v>3.3898305084745763E-2</v>
      </c>
      <c r="N175" s="20">
        <f t="shared" ref="N175" si="6">O175/7</f>
        <v>46.571428571428569</v>
      </c>
      <c r="O175" s="1">
        <f>38+38+38+44+49+60+59</f>
        <v>326</v>
      </c>
    </row>
    <row r="176" spans="1:16" x14ac:dyDescent="0.25">
      <c r="A176" s="1">
        <v>2</v>
      </c>
      <c r="B176" s="60" t="s">
        <v>92</v>
      </c>
      <c r="C176" s="44"/>
      <c r="D176" s="25">
        <f>'[1]S-Þing'!$F$28</f>
        <v>0.18055555555555555</v>
      </c>
      <c r="E176" s="33">
        <f>'[1]S-Þing'!$F$38</f>
        <v>0.40740740740740738</v>
      </c>
      <c r="F176" s="25">
        <f>'[1]S-Þing'!$F$48</f>
        <v>0.23076923076923078</v>
      </c>
      <c r="G176" s="33">
        <f>'[1]S-Þing'!$F$58</f>
        <v>0.35106382978723405</v>
      </c>
      <c r="H176" s="53"/>
      <c r="I176" s="53"/>
      <c r="J176" s="53"/>
      <c r="N176" s="20">
        <f>O176/4</f>
        <v>84.5</v>
      </c>
      <c r="O176" s="1">
        <f>72+81+91+94</f>
        <v>338</v>
      </c>
      <c r="P176" s="11" t="s">
        <v>246</v>
      </c>
    </row>
    <row r="177" spans="1:16" x14ac:dyDescent="0.25">
      <c r="A177" s="1">
        <v>3</v>
      </c>
      <c r="B177" s="60" t="s">
        <v>93</v>
      </c>
      <c r="C177" s="44"/>
      <c r="D177" s="53"/>
      <c r="E177" s="53"/>
      <c r="F177" s="53"/>
      <c r="G177" s="53"/>
      <c r="H177" s="25">
        <f>'[1]S-Þing'!$F$69</f>
        <v>0.11764705882352941</v>
      </c>
      <c r="I177" s="33">
        <f>'[1]S-Þing'!$F$80</f>
        <v>0.32653061224489793</v>
      </c>
      <c r="J177" s="23">
        <f>'[1]S-Þing'!$F$91</f>
        <v>9.0909090909090912E-2</v>
      </c>
      <c r="N177" s="20">
        <f>O177/3</f>
        <v>51.666666666666664</v>
      </c>
      <c r="O177" s="1">
        <f>51+49+55</f>
        <v>155</v>
      </c>
      <c r="P177" s="10" t="s">
        <v>247</v>
      </c>
    </row>
    <row r="178" spans="1:16" x14ac:dyDescent="0.25">
      <c r="A178" s="1">
        <v>4</v>
      </c>
      <c r="B178" s="60" t="s">
        <v>94</v>
      </c>
      <c r="C178" s="44"/>
      <c r="D178" s="53"/>
      <c r="E178" s="53"/>
      <c r="F178" s="53"/>
      <c r="G178" s="53"/>
      <c r="H178" s="33">
        <f>'[1]S-Þing'!$F$70</f>
        <v>0.27083333333333331</v>
      </c>
      <c r="I178" s="24">
        <f>'[1]S-Þing'!$F$81</f>
        <v>0.64583333333333337</v>
      </c>
      <c r="J178" s="24">
        <f>'[1]S-Þing'!$F$92</f>
        <v>0.5</v>
      </c>
      <c r="N178" s="20">
        <f>O178/3</f>
        <v>48</v>
      </c>
      <c r="O178" s="1">
        <f>48+48+48</f>
        <v>144</v>
      </c>
      <c r="P178" s="2" t="s">
        <v>248</v>
      </c>
    </row>
    <row r="179" spans="1:16" x14ac:dyDescent="0.25">
      <c r="A179" s="1">
        <v>5</v>
      </c>
      <c r="B179" s="60" t="s">
        <v>95</v>
      </c>
      <c r="C179" s="44"/>
      <c r="D179" s="24">
        <f>'[1]S-Þing'!$F$29</f>
        <v>0.5714285714285714</v>
      </c>
      <c r="E179" s="33">
        <f>'[1]S-Þing'!$F$39</f>
        <v>0.26470588235294118</v>
      </c>
      <c r="F179" s="33">
        <f>'[1]S-Þing'!$F$49</f>
        <v>0.29729729729729731</v>
      </c>
      <c r="G179" s="33">
        <f>'[1]S-Þing'!$F$59</f>
        <v>0.44444444444444442</v>
      </c>
      <c r="H179" s="25">
        <f>'[1]S-Þing'!$F$71</f>
        <v>0.11904761904761904</v>
      </c>
      <c r="I179" s="33">
        <f>'[1]S-Þing'!$F$82</f>
        <v>0.26315789473684209</v>
      </c>
      <c r="J179" s="23">
        <f>'[1]S-Þing'!$F$93</f>
        <v>7.6923076923076927E-2</v>
      </c>
      <c r="N179" s="20">
        <f t="shared" ref="N179:N183" si="7">O179/7</f>
        <v>36.285714285714285</v>
      </c>
      <c r="O179" s="1">
        <f>28+34+37+36+42+38+39</f>
        <v>254</v>
      </c>
      <c r="P179" s="9" t="s">
        <v>249</v>
      </c>
    </row>
    <row r="180" spans="1:16" x14ac:dyDescent="0.25">
      <c r="A180" s="1">
        <v>6</v>
      </c>
      <c r="B180" s="69" t="s">
        <v>96</v>
      </c>
      <c r="C180" s="48"/>
      <c r="D180" s="24">
        <f>'[1]S-Þing'!$F$30</f>
        <v>0.50877192982456143</v>
      </c>
      <c r="E180" s="33">
        <f>'[1]S-Þing'!$F$40</f>
        <v>0.42857142857142855</v>
      </c>
      <c r="F180" s="33">
        <f>'[1]S-Þing'!$F$50</f>
        <v>0.42857142857142855</v>
      </c>
      <c r="G180" s="24">
        <f>'[1]S-Þing'!$F$60</f>
        <v>0.63492063492063489</v>
      </c>
      <c r="H180" s="33">
        <f>'[1]S-Þing'!$F$72</f>
        <v>0.31818181818181818</v>
      </c>
      <c r="I180" s="24">
        <f>'[1]S-Þing'!$F$83</f>
        <v>0.67692307692307696</v>
      </c>
      <c r="J180" s="24">
        <f>'[1]S-Þing'!$F$94</f>
        <v>0.53521126760563376</v>
      </c>
      <c r="N180" s="20">
        <f t="shared" si="7"/>
        <v>64</v>
      </c>
      <c r="O180" s="1">
        <f>57+63+63+63+66+65+71</f>
        <v>448</v>
      </c>
      <c r="P180" s="8" t="s">
        <v>250</v>
      </c>
    </row>
    <row r="181" spans="1:16" x14ac:dyDescent="0.25">
      <c r="A181" s="1">
        <v>7</v>
      </c>
      <c r="B181" s="67" t="s">
        <v>97</v>
      </c>
      <c r="C181" s="48"/>
      <c r="D181" s="24">
        <f>'[1]S-Þing'!$F$31</f>
        <v>0.52631578947368418</v>
      </c>
      <c r="E181" s="25">
        <f>'[1]S-Þing'!$F$41</f>
        <v>0.20370370370370369</v>
      </c>
      <c r="F181" s="25">
        <f>'[1]S-Þing'!$F$51</f>
        <v>0.15625</v>
      </c>
      <c r="G181" s="33">
        <f>'[1]S-Þing'!$F$61</f>
        <v>0.26315789473684209</v>
      </c>
      <c r="H181" s="25">
        <f>'[1]S-Þing'!$F$73</f>
        <v>0.23076923076923078</v>
      </c>
      <c r="I181" s="33">
        <f>'[1]S-Þing'!$F$84</f>
        <v>0.33333333333333331</v>
      </c>
      <c r="J181" s="25">
        <f>'[1]S-Þing'!$F$95</f>
        <v>0.18518518518518517</v>
      </c>
      <c r="N181" s="20">
        <f t="shared" si="7"/>
        <v>56.428571428571431</v>
      </c>
      <c r="O181" s="1">
        <f>57+54+64+57+52+57+54</f>
        <v>395</v>
      </c>
      <c r="P181" s="7" t="s">
        <v>29</v>
      </c>
    </row>
    <row r="182" spans="1:16" x14ac:dyDescent="0.25">
      <c r="A182" s="1">
        <v>8</v>
      </c>
      <c r="B182" t="s">
        <v>98</v>
      </c>
      <c r="C182" s="58"/>
      <c r="D182" s="23">
        <f>'[1]S-Þing'!$F$32</f>
        <v>2.7027027027027029E-2</v>
      </c>
      <c r="E182" s="23">
        <f>'[1]S-Þing'!$F$42</f>
        <v>2.3809523809523808E-2</v>
      </c>
      <c r="F182" s="25">
        <f>'[1]S-Þing'!$F$52</f>
        <v>0.19047619047619047</v>
      </c>
      <c r="G182" s="23">
        <f>'[1]S-Þing'!$F$62</f>
        <v>7.8947368421052627E-2</v>
      </c>
      <c r="H182" s="23">
        <f>'[1]S-Þing'!$F$74</f>
        <v>6.25E-2</v>
      </c>
      <c r="I182" s="25">
        <f>'[1]S-Þing'!$F$85</f>
        <v>0.1875</v>
      </c>
      <c r="J182" s="23">
        <f>'[1]S-Þing'!$F$96</f>
        <v>0</v>
      </c>
      <c r="N182" s="20">
        <f t="shared" si="7"/>
        <v>43</v>
      </c>
      <c r="O182" s="1">
        <f>37+42+42+38+48+48+46</f>
        <v>301</v>
      </c>
    </row>
    <row r="183" spans="1:16" ht="15.75" thickBot="1" x14ac:dyDescent="0.3">
      <c r="A183" s="1">
        <v>9</v>
      </c>
      <c r="B183" s="68" t="s">
        <v>99</v>
      </c>
      <c r="C183" s="46"/>
      <c r="D183" s="40">
        <f>'[1]S-Þing'!$F$33</f>
        <v>0.17647058823529413</v>
      </c>
      <c r="E183" s="42">
        <f>'[1]S-Þing'!$F$43</f>
        <v>0.26315789473684209</v>
      </c>
      <c r="F183" s="40">
        <f>'[1]S-Þing'!$F$53</f>
        <v>0.15789473684210525</v>
      </c>
      <c r="G183" s="40">
        <f>'[1]S-Þing'!$F$63</f>
        <v>0.1</v>
      </c>
      <c r="H183" s="40">
        <f>'[1]S-Þing'!$F$75</f>
        <v>0.22727272727272727</v>
      </c>
      <c r="I183" s="40">
        <f>'[1]S-Þing'!$F$86</f>
        <v>0.13636363636363635</v>
      </c>
      <c r="J183" s="41">
        <f>'[1]S-Þing'!$F$97</f>
        <v>0</v>
      </c>
      <c r="N183" s="20">
        <f t="shared" si="7"/>
        <v>20.142857142857142</v>
      </c>
      <c r="O183" s="1">
        <f>17+19+19+20+22+22+22</f>
        <v>141</v>
      </c>
    </row>
    <row r="184" spans="1:16" x14ac:dyDescent="0.25">
      <c r="C184" s="6"/>
    </row>
    <row r="185" spans="1:16" s="4" customFormat="1" x14ac:dyDescent="0.25">
      <c r="A185" s="5"/>
      <c r="B185" s="4" t="s">
        <v>11</v>
      </c>
      <c r="C185" s="47"/>
      <c r="D185" s="51">
        <f>'[1]S-Þing'!$F$34</f>
        <v>0.31045751633986929</v>
      </c>
      <c r="E185" s="51">
        <f>'[1]S-Þing'!$F$44</f>
        <v>0.26888217522658608</v>
      </c>
      <c r="F185" s="51">
        <f>'[1]S-Þing'!$F$54</f>
        <v>0.25706214689265539</v>
      </c>
      <c r="G185" s="51">
        <f>'[1]S-Þing'!$F$64</f>
        <v>0.31534090909090912</v>
      </c>
      <c r="H185" s="50">
        <f>'[1]S-Þing'!$F$76</f>
        <v>0.18253968253968253</v>
      </c>
      <c r="I185" s="51">
        <f>'[1]S-Þing'!$F$87</f>
        <v>0.35917312661498707</v>
      </c>
      <c r="J185" s="51">
        <f>'[1]S-Þing'!$F$98</f>
        <v>0.20812182741116753</v>
      </c>
      <c r="N185" s="20">
        <f>O185/7</f>
        <v>357.42857142857144</v>
      </c>
      <c r="O185" s="1">
        <f>306+331+354+352+378+387+394</f>
        <v>2502</v>
      </c>
    </row>
    <row r="186" spans="1:16" x14ac:dyDescent="0.25">
      <c r="B186" s="4" t="s">
        <v>193</v>
      </c>
      <c r="C186" s="50">
        <v>0.19900000000000001</v>
      </c>
      <c r="D186" s="50">
        <v>0.248</v>
      </c>
      <c r="E186" s="51">
        <v>0.312</v>
      </c>
      <c r="F186" s="51">
        <v>0.308</v>
      </c>
      <c r="G186" s="51">
        <v>0.26200000000000001</v>
      </c>
      <c r="H186" s="51">
        <v>0.48499999999999999</v>
      </c>
      <c r="I186" s="52">
        <v>0.53800000000000003</v>
      </c>
      <c r="J186" s="70">
        <v>0.53100000000000003</v>
      </c>
    </row>
    <row r="187" spans="1:16" x14ac:dyDescent="0.25">
      <c r="B187" t="s">
        <v>198</v>
      </c>
    </row>
    <row r="188" spans="1:16" x14ac:dyDescent="0.25">
      <c r="B188" s="13" t="s">
        <v>83</v>
      </c>
      <c r="H188" s="13"/>
    </row>
    <row r="189" spans="1:16" x14ac:dyDescent="0.25">
      <c r="B189" s="13" t="s">
        <v>225</v>
      </c>
      <c r="H189" s="13"/>
    </row>
    <row r="190" spans="1:16" x14ac:dyDescent="0.25">
      <c r="B190" s="13"/>
      <c r="H190" s="13"/>
    </row>
    <row r="191" spans="1:16" x14ac:dyDescent="0.25">
      <c r="H191" s="13"/>
    </row>
    <row r="192" spans="1:16" ht="18.75" x14ac:dyDescent="0.3">
      <c r="B192" s="75" t="s">
        <v>175</v>
      </c>
      <c r="E192" s="3"/>
      <c r="L192" s="12"/>
      <c r="N192" s="5" t="s">
        <v>26</v>
      </c>
      <c r="O192" s="5" t="s">
        <v>189</v>
      </c>
    </row>
    <row r="193" spans="1:16" s="4" customFormat="1" ht="15.75" thickBot="1" x14ac:dyDescent="0.3">
      <c r="A193" s="5"/>
      <c r="C193" s="27">
        <v>1874</v>
      </c>
      <c r="D193" s="28">
        <v>1880</v>
      </c>
      <c r="E193" s="28">
        <v>1886</v>
      </c>
      <c r="F193" s="28">
        <v>1890</v>
      </c>
      <c r="G193" s="28">
        <v>1892</v>
      </c>
      <c r="H193" s="28">
        <v>1894</v>
      </c>
      <c r="I193" s="28">
        <v>1900</v>
      </c>
      <c r="J193" s="28">
        <v>1902</v>
      </c>
      <c r="K193" s="28">
        <v>1903</v>
      </c>
      <c r="N193" s="5" t="s">
        <v>27</v>
      </c>
      <c r="O193" s="5" t="s">
        <v>190</v>
      </c>
    </row>
    <row r="194" spans="1:16" x14ac:dyDescent="0.25">
      <c r="A194" s="1">
        <v>1</v>
      </c>
      <c r="B194" t="s">
        <v>176</v>
      </c>
      <c r="C194" s="25">
        <f>[1]Eyjafj!$F$8</f>
        <v>0.16326530612244897</v>
      </c>
      <c r="D194" s="33">
        <f>[1]Eyjafj!$F$22</f>
        <v>0.2608695652173913</v>
      </c>
      <c r="E194" s="32">
        <f>[1]Eyjafj!$F$36</f>
        <v>0.8</v>
      </c>
      <c r="F194" s="32">
        <f>[1]Eyjafj!$F$50</f>
        <v>0.77083333333333337</v>
      </c>
      <c r="G194" s="24">
        <f>[1]Eyjafj!$F$64</f>
        <v>0.61224489795918369</v>
      </c>
      <c r="H194" s="33">
        <f>[1]Eyjafj!$F$78</f>
        <v>0.27272727272727271</v>
      </c>
      <c r="I194" s="44"/>
      <c r="J194" s="44"/>
      <c r="K194" s="33">
        <f>[1]Eyjafj!$F$120</f>
        <v>0.39215686274509803</v>
      </c>
      <c r="N194" s="20">
        <f>O194/7</f>
        <v>47.428571428571431</v>
      </c>
      <c r="O194" s="1">
        <f>49+46+45+48+49+44+51</f>
        <v>332</v>
      </c>
    </row>
    <row r="195" spans="1:16" x14ac:dyDescent="0.25">
      <c r="A195" s="1">
        <v>2</v>
      </c>
      <c r="B195" t="s">
        <v>177</v>
      </c>
      <c r="C195" s="23">
        <f>[1]Eyjafj!$F$9</f>
        <v>7.1428571428571425E-2</v>
      </c>
      <c r="D195" s="25">
        <f>[1]Eyjafj!$F$23</f>
        <v>0.17741935483870969</v>
      </c>
      <c r="E195" s="32">
        <f>[1]Eyjafj!$F$37</f>
        <v>0.76811594202898548</v>
      </c>
      <c r="F195" s="24">
        <f>[1]Eyjafj!$F$51</f>
        <v>0.67741935483870963</v>
      </c>
      <c r="G195" s="33">
        <f>[1]Eyjafj!$F$65</f>
        <v>0.42028985507246375</v>
      </c>
      <c r="H195" s="25">
        <f>[1]Eyjafj!$F$79</f>
        <v>0.1</v>
      </c>
      <c r="I195" s="44"/>
      <c r="J195" s="44"/>
      <c r="K195" s="32">
        <f>[1]Eyjafj!$F$121</f>
        <v>0.81944444444444442</v>
      </c>
      <c r="N195" s="20">
        <f>O195/7</f>
        <v>67.714285714285708</v>
      </c>
      <c r="O195" s="1">
        <f>70+62+69+62+69+70+72</f>
        <v>474</v>
      </c>
      <c r="P195" s="11" t="s">
        <v>246</v>
      </c>
    </row>
    <row r="196" spans="1:16" x14ac:dyDescent="0.25">
      <c r="A196" s="1">
        <v>3</v>
      </c>
      <c r="B196" t="s">
        <v>178</v>
      </c>
      <c r="C196" s="33">
        <f>[1]Eyjafj!$F$10</f>
        <v>0.27027027027027029</v>
      </c>
      <c r="D196" s="33">
        <f>[1]Eyjafj!$F$24</f>
        <v>0.25806451612903225</v>
      </c>
      <c r="E196" s="24">
        <f>[1]Eyjafj!$F$38</f>
        <v>0.64864864864864868</v>
      </c>
      <c r="F196" s="32">
        <f>[1]Eyjafj!$F$52</f>
        <v>0.77777777777777779</v>
      </c>
      <c r="G196" s="32">
        <f>[1]Eyjafj!$F$66</f>
        <v>0.79411764705882348</v>
      </c>
      <c r="H196" s="23">
        <f>[1]Eyjafj!$F$80</f>
        <v>5.5555555555555552E-2</v>
      </c>
      <c r="I196" s="44"/>
      <c r="J196" s="44"/>
      <c r="K196" s="32">
        <f>[1]Eyjafj!$F$122</f>
        <v>0.8</v>
      </c>
      <c r="N196" s="20">
        <f>O196/7</f>
        <v>34.428571428571431</v>
      </c>
      <c r="O196" s="1">
        <f>37+31+37+36+34+36+30</f>
        <v>241</v>
      </c>
      <c r="P196" s="10" t="s">
        <v>247</v>
      </c>
    </row>
    <row r="197" spans="1:16" x14ac:dyDescent="0.25">
      <c r="A197" s="1">
        <v>4</v>
      </c>
      <c r="B197" s="4" t="s">
        <v>179</v>
      </c>
      <c r="C197" s="44"/>
      <c r="D197" s="44"/>
      <c r="E197" s="24">
        <f>[1]Eyjafj!$F$39</f>
        <v>0.72</v>
      </c>
      <c r="F197" s="32">
        <f>[1]Eyjafj!$F$53</f>
        <v>0.81818181818181823</v>
      </c>
      <c r="G197" s="24">
        <f>[1]Eyjafj!$F$67</f>
        <v>0.65853658536585369</v>
      </c>
      <c r="H197" s="25">
        <f>[1]Eyjafj!$F$81</f>
        <v>0.24390243902439024</v>
      </c>
      <c r="I197" s="44"/>
      <c r="J197" s="44"/>
      <c r="K197" s="24">
        <f>[1]Eyjafj!$F$123</f>
        <v>0.71621621621621623</v>
      </c>
      <c r="N197" s="20">
        <f>O197/5</f>
        <v>42.8</v>
      </c>
      <c r="O197" s="1">
        <f>25+33+41+41+74</f>
        <v>214</v>
      </c>
      <c r="P197" s="2" t="s">
        <v>248</v>
      </c>
    </row>
    <row r="198" spans="1:16" x14ac:dyDescent="0.25">
      <c r="A198" s="1">
        <v>5</v>
      </c>
      <c r="B198" t="s">
        <v>180</v>
      </c>
      <c r="C198" s="33">
        <f>[1]Eyjafj!$F$12</f>
        <v>0.30232558139534882</v>
      </c>
      <c r="D198" s="44"/>
      <c r="E198" s="33">
        <f>[1]Eyjafj!$F$40</f>
        <v>0.49122807017543857</v>
      </c>
      <c r="F198" s="24">
        <f>[1]Eyjafj!$F$54</f>
        <v>0.60416666666666663</v>
      </c>
      <c r="G198" s="24">
        <f>[1]Eyjafj!$F$68</f>
        <v>0.5714285714285714</v>
      </c>
      <c r="H198" s="25">
        <f>[1]Eyjafj!$F$82</f>
        <v>0.19230769230769232</v>
      </c>
      <c r="I198" s="44"/>
      <c r="J198" s="44"/>
      <c r="K198" s="32">
        <f>[1]Eyjafj!$F$124</f>
        <v>0.78181818181818186</v>
      </c>
      <c r="N198" s="20">
        <f>O198/6</f>
        <v>51.833333333333336</v>
      </c>
      <c r="O198" s="1">
        <f>43+57+48+56+52+55</f>
        <v>311</v>
      </c>
      <c r="P198" s="9" t="s">
        <v>249</v>
      </c>
    </row>
    <row r="199" spans="1:16" x14ac:dyDescent="0.25">
      <c r="A199" s="1">
        <v>6</v>
      </c>
      <c r="B199" t="s">
        <v>181</v>
      </c>
      <c r="C199" s="25">
        <f>[1]Eyjafj!$F$13</f>
        <v>0.14285714285714285</v>
      </c>
      <c r="D199" s="25">
        <f>[1]Eyjafj!$F$27</f>
        <v>0.23529411764705882</v>
      </c>
      <c r="E199" s="24">
        <f>[1]Eyjafj!$F$41</f>
        <v>0.54545454545454541</v>
      </c>
      <c r="F199" s="24">
        <f>[1]Eyjafj!$F$55</f>
        <v>0.52941176470588236</v>
      </c>
      <c r="G199" s="33">
        <f>[1]Eyjafj!$F$69</f>
        <v>0.47916666666666669</v>
      </c>
      <c r="H199" s="23">
        <f>[1]Eyjafj!$F$83</f>
        <v>0.08</v>
      </c>
      <c r="I199" s="44"/>
      <c r="J199" s="44"/>
      <c r="K199" s="24">
        <f>[1]Eyjafj!$F$125</f>
        <v>0.70833333333333337</v>
      </c>
      <c r="N199" s="20">
        <f>O199/7</f>
        <v>48.714285714285715</v>
      </c>
      <c r="O199" s="1">
        <f>49+51+44+51+48+50+48</f>
        <v>341</v>
      </c>
      <c r="P199" s="8" t="s">
        <v>250</v>
      </c>
    </row>
    <row r="200" spans="1:16" x14ac:dyDescent="0.25">
      <c r="A200" s="1">
        <v>7</v>
      </c>
      <c r="B200" t="s">
        <v>182</v>
      </c>
      <c r="C200" s="23">
        <f>[1]Eyjafj!$F$14</f>
        <v>7.8431372549019607E-2</v>
      </c>
      <c r="D200" s="25">
        <f>[1]Eyjafj!$F$28</f>
        <v>0.11538461538461539</v>
      </c>
      <c r="E200" s="33">
        <f>[1]Eyjafj!$F$42</f>
        <v>0.45614035087719296</v>
      </c>
      <c r="F200" s="33">
        <f>[1]Eyjafj!$F$56</f>
        <v>0.36363636363636365</v>
      </c>
      <c r="G200" s="33">
        <f>[1]Eyjafj!$F$70</f>
        <v>0.29310344827586204</v>
      </c>
      <c r="H200" s="23">
        <f>[1]Eyjafj!$F$84</f>
        <v>9.375E-2</v>
      </c>
      <c r="I200" s="44"/>
      <c r="J200" s="44"/>
      <c r="K200" s="24">
        <f>[1]Eyjafj!$F$126</f>
        <v>0.73529411764705888</v>
      </c>
      <c r="N200" s="20">
        <f>O200/7</f>
        <v>59.428571428571431</v>
      </c>
      <c r="O200" s="1">
        <f>51+52+57+66+58+64+68</f>
        <v>416</v>
      </c>
      <c r="P200" s="7" t="s">
        <v>29</v>
      </c>
    </row>
    <row r="201" spans="1:16" x14ac:dyDescent="0.25">
      <c r="A201" s="1">
        <v>8</v>
      </c>
      <c r="B201" t="s">
        <v>186</v>
      </c>
      <c r="C201" s="23">
        <f>[1]Eyjafj!$F$15</f>
        <v>1.6129032258064516E-2</v>
      </c>
      <c r="D201" s="23">
        <f>[1]Eyjafj!$F$29</f>
        <v>2.5974025974025976E-2</v>
      </c>
      <c r="E201" s="25">
        <f>[1]Eyjafj!$F$43</f>
        <v>0.22077922077922077</v>
      </c>
      <c r="F201" s="33">
        <f>[1]Eyjafj!$F$57</f>
        <v>0.47945205479452052</v>
      </c>
      <c r="G201" s="25">
        <f>[1]Eyjafj!$F$71</f>
        <v>0.16</v>
      </c>
      <c r="H201" s="23">
        <f>[1]Eyjafj!$F$85</f>
        <v>0</v>
      </c>
      <c r="I201" s="44"/>
      <c r="J201" s="44"/>
      <c r="K201" s="32">
        <f>[1]Eyjafj!$F$127</f>
        <v>0.77647058823529413</v>
      </c>
      <c r="N201" s="20">
        <f>O201/7</f>
        <v>75.428571428571431</v>
      </c>
      <c r="O201" s="1">
        <f>62+77+77+73+75+79+85</f>
        <v>528</v>
      </c>
    </row>
    <row r="202" spans="1:16" x14ac:dyDescent="0.25">
      <c r="A202" s="1">
        <v>9</v>
      </c>
      <c r="B202" t="s">
        <v>183</v>
      </c>
      <c r="C202" s="44"/>
      <c r="D202" s="23">
        <f>[1]Eyjafj!$F$30</f>
        <v>6.6666666666666666E-2</v>
      </c>
      <c r="E202" s="25">
        <f>[1]Eyjafj!$F$44</f>
        <v>0.1</v>
      </c>
      <c r="F202" s="23">
        <f>[1]Eyjafj!$F$58</f>
        <v>0</v>
      </c>
      <c r="G202" s="23">
        <f>[1]Eyjafj!$F$72</f>
        <v>0</v>
      </c>
      <c r="H202" s="23">
        <f>[1]Eyjafj!$F$86</f>
        <v>0</v>
      </c>
      <c r="I202" s="44"/>
      <c r="J202" s="44"/>
      <c r="K202" s="24">
        <f>[1]Eyjafj!$F$128</f>
        <v>0.64864864864864868</v>
      </c>
      <c r="N202" s="20">
        <f>O202/6</f>
        <v>31.5</v>
      </c>
      <c r="O202" s="1">
        <f>30+30+28+30+34+37</f>
        <v>189</v>
      </c>
    </row>
    <row r="203" spans="1:16" x14ac:dyDescent="0.25">
      <c r="A203" s="1">
        <v>10</v>
      </c>
      <c r="B203" t="s">
        <v>184</v>
      </c>
      <c r="C203" s="44"/>
      <c r="D203" s="25">
        <f>[1]Eyjafj!$F$31</f>
        <v>0.14814814814814814</v>
      </c>
      <c r="E203" s="23">
        <f>[1]Eyjafj!$F$45</f>
        <v>0</v>
      </c>
      <c r="F203" s="23">
        <f>[1]Eyjafj!$F$59</f>
        <v>8.3333333333333329E-2</v>
      </c>
      <c r="G203" s="23">
        <f>[1]Eyjafj!$F$73</f>
        <v>0</v>
      </c>
      <c r="H203" s="23">
        <f>[1]Eyjafj!$F$87</f>
        <v>0</v>
      </c>
      <c r="I203" s="44"/>
      <c r="J203" s="44"/>
      <c r="K203" s="33">
        <f>[1]Eyjafj!$F$129</f>
        <v>0.32432432432432434</v>
      </c>
      <c r="N203" s="20">
        <f>O203/6</f>
        <v>27.333333333333332</v>
      </c>
      <c r="O203" s="1">
        <f>27+22+24+28+26+37</f>
        <v>164</v>
      </c>
    </row>
    <row r="204" spans="1:16" ht="15.75" thickBot="1" x14ac:dyDescent="0.3">
      <c r="A204" s="1">
        <v>11</v>
      </c>
      <c r="B204" s="61" t="s">
        <v>185</v>
      </c>
      <c r="C204" s="41">
        <f>[1]Eyjafj!$F$18</f>
        <v>0</v>
      </c>
      <c r="D204" s="41">
        <f>[1]Eyjafj!$F$32</f>
        <v>0</v>
      </c>
      <c r="E204" s="46"/>
      <c r="F204" s="41">
        <f>[1]Eyjafj!$F$60</f>
        <v>0</v>
      </c>
      <c r="G204" s="46"/>
      <c r="H204" s="46"/>
      <c r="I204" s="46"/>
      <c r="J204" s="46"/>
      <c r="K204" s="46"/>
      <c r="N204" s="20">
        <f>O204/3</f>
        <v>11.333333333333334</v>
      </c>
      <c r="O204" s="1">
        <f>12+11+11</f>
        <v>34</v>
      </c>
    </row>
    <row r="205" spans="1:16" x14ac:dyDescent="0.25">
      <c r="C205" s="6"/>
    </row>
    <row r="206" spans="1:16" s="4" customFormat="1" x14ac:dyDescent="0.25">
      <c r="A206" s="5"/>
      <c r="B206" s="4" t="s">
        <v>11</v>
      </c>
      <c r="C206" s="50">
        <f>52/448</f>
        <v>0.11607142857142858</v>
      </c>
      <c r="D206" s="50">
        <f>81/475</f>
        <v>0.17052631578947369</v>
      </c>
      <c r="E206" s="51">
        <f>[1]Eyjafj!$F$47</f>
        <v>0.49460043196544279</v>
      </c>
      <c r="F206" s="52">
        <f>[1]Eyjafj!$F$61</f>
        <v>0.5229166666666667</v>
      </c>
      <c r="G206" s="51">
        <f>[1]Eyjafj!$F$75</f>
        <v>0.40368852459016391</v>
      </c>
      <c r="H206" s="50">
        <f>[1]Eyjafj!$F$89</f>
        <v>0.1028225806451613</v>
      </c>
      <c r="I206" s="52">
        <f>290/517</f>
        <v>0.56092843326885877</v>
      </c>
      <c r="J206" s="51">
        <f>262/533</f>
        <v>0.49155722326454032</v>
      </c>
      <c r="K206" s="52">
        <f>[1]Eyjafj!$F$131</f>
        <v>0.69120287253141832</v>
      </c>
      <c r="N206" s="20">
        <f>O206/8</f>
        <v>447.5</v>
      </c>
      <c r="O206" s="1">
        <f>443+453+444+450+437+456+435+462</f>
        <v>3580</v>
      </c>
    </row>
    <row r="207" spans="1:16" x14ac:dyDescent="0.25">
      <c r="B207" s="4" t="s">
        <v>193</v>
      </c>
      <c r="C207" s="50">
        <v>0.19900000000000001</v>
      </c>
      <c r="D207" s="50">
        <v>0.248</v>
      </c>
      <c r="E207" s="51">
        <v>0.312</v>
      </c>
      <c r="G207" s="51">
        <v>0.308</v>
      </c>
      <c r="H207" s="51">
        <v>0.26200000000000001</v>
      </c>
      <c r="I207" s="51">
        <v>0.48499999999999999</v>
      </c>
      <c r="J207" s="52">
        <v>0.53800000000000003</v>
      </c>
      <c r="K207" s="70">
        <v>0.53100000000000003</v>
      </c>
    </row>
    <row r="208" spans="1:16" x14ac:dyDescent="0.25">
      <c r="B208" s="13" t="s">
        <v>187</v>
      </c>
      <c r="M208" s="1"/>
    </row>
    <row r="209" spans="1:16" x14ac:dyDescent="0.25">
      <c r="B209" t="s">
        <v>226</v>
      </c>
      <c r="H209" s="13"/>
    </row>
    <row r="210" spans="1:16" x14ac:dyDescent="0.25">
      <c r="B210" t="s">
        <v>227</v>
      </c>
      <c r="H210" s="13"/>
    </row>
    <row r="211" spans="1:16" x14ac:dyDescent="0.25">
      <c r="H211" s="13"/>
    </row>
    <row r="213" spans="1:16" ht="18.75" x14ac:dyDescent="0.3">
      <c r="B213" s="75" t="s">
        <v>100</v>
      </c>
      <c r="E213" s="3"/>
      <c r="L213" s="12"/>
      <c r="N213" s="5" t="s">
        <v>26</v>
      </c>
      <c r="O213" s="5" t="s">
        <v>189</v>
      </c>
    </row>
    <row r="214" spans="1:16" s="4" customFormat="1" ht="15.75" thickBot="1" x14ac:dyDescent="0.3">
      <c r="A214" s="5"/>
      <c r="C214" s="27">
        <v>1874</v>
      </c>
      <c r="D214" s="28">
        <v>1878</v>
      </c>
      <c r="E214" s="28">
        <v>1880</v>
      </c>
      <c r="F214" s="28">
        <v>1883</v>
      </c>
      <c r="G214" s="28">
        <v>1886</v>
      </c>
      <c r="H214" s="28">
        <v>1892</v>
      </c>
      <c r="I214" s="28">
        <v>1894</v>
      </c>
      <c r="J214" s="28">
        <v>1900</v>
      </c>
      <c r="K214" s="28">
        <v>1902</v>
      </c>
      <c r="L214" s="28">
        <v>1903</v>
      </c>
      <c r="N214" s="5" t="s">
        <v>27</v>
      </c>
      <c r="O214" s="5" t="s">
        <v>190</v>
      </c>
    </row>
    <row r="215" spans="1:16" x14ac:dyDescent="0.25">
      <c r="A215" s="1">
        <v>1</v>
      </c>
      <c r="B215" s="60" t="s">
        <v>101</v>
      </c>
      <c r="C215" s="44"/>
      <c r="D215" s="44"/>
      <c r="E215" s="23">
        <f>[1]Skagafj!$F$41</f>
        <v>1.4705882352941176E-2</v>
      </c>
      <c r="F215" s="23">
        <f>[1]Skagafj!$F$56</f>
        <v>1.2987012987012988E-2</v>
      </c>
      <c r="G215" s="23">
        <f>[1]Skagafj!$F$71</f>
        <v>3.0769230769230771E-2</v>
      </c>
      <c r="H215" s="23">
        <f>[1]Skagafj!$F$86</f>
        <v>3.7499999999999999E-2</v>
      </c>
      <c r="I215" s="23">
        <f>[1]Skagafj!$F$101</f>
        <v>3.7499999999999999E-2</v>
      </c>
      <c r="J215" s="23">
        <f>[1]Skagafj!$F$116</f>
        <v>3.4482758620689655E-2</v>
      </c>
      <c r="K215" s="23">
        <f>[1]Skagafj!$F$132</f>
        <v>5.5555555555555552E-2</v>
      </c>
      <c r="L215" s="33">
        <f>[1]Skagafj!$F$148</f>
        <v>0.2857142857142857</v>
      </c>
      <c r="N215" s="20">
        <f>O215/8</f>
        <v>58.75</v>
      </c>
      <c r="O215" s="1">
        <f>68+77+65+80+80+29+36+35</f>
        <v>470</v>
      </c>
    </row>
    <row r="216" spans="1:16" x14ac:dyDescent="0.25">
      <c r="A216" s="1">
        <v>2</v>
      </c>
      <c r="B216" s="60" t="s">
        <v>102</v>
      </c>
      <c r="C216" s="44"/>
      <c r="D216" s="44"/>
      <c r="E216" s="53"/>
      <c r="F216" s="53"/>
      <c r="G216" s="53"/>
      <c r="H216" s="53"/>
      <c r="I216" s="53"/>
      <c r="J216" s="23">
        <f>[1]Skagafj!$F$117</f>
        <v>2.7777777777777776E-2</v>
      </c>
      <c r="K216" s="25">
        <f>[1]Skagafj!$F$133</f>
        <v>0.10526315789473684</v>
      </c>
      <c r="L216" s="23">
        <f>[1]Skagafj!$F$149</f>
        <v>9.0909090909090912E-2</v>
      </c>
      <c r="N216" s="20">
        <f>O216/3</f>
        <v>35.666666666666664</v>
      </c>
      <c r="O216" s="1">
        <f>36+38+33</f>
        <v>107</v>
      </c>
      <c r="P216" s="11" t="s">
        <v>246</v>
      </c>
    </row>
    <row r="217" spans="1:16" x14ac:dyDescent="0.25">
      <c r="A217" s="1">
        <v>3</v>
      </c>
      <c r="B217" s="60" t="s">
        <v>103</v>
      </c>
      <c r="C217" s="44"/>
      <c r="D217" s="44"/>
      <c r="E217" s="23">
        <f>[1]Skagafj!$F$42</f>
        <v>8.6956521739130432E-2</v>
      </c>
      <c r="F217" s="23">
        <f>[1]Skagafj!$F$57</f>
        <v>9.0909090909090912E-2</v>
      </c>
      <c r="G217" s="25">
        <f>[1]Skagafj!$F$72</f>
        <v>0.10526315789473684</v>
      </c>
      <c r="H217" s="33">
        <f>[1]Skagafj!$F$87</f>
        <v>0.38095238095238093</v>
      </c>
      <c r="I217" s="25">
        <f>[1]Skagafj!$F$102</f>
        <v>0.2</v>
      </c>
      <c r="J217" s="25">
        <f>[1]Skagafj!$F$118</f>
        <v>0.19047619047619047</v>
      </c>
      <c r="K217" s="24">
        <f>[1]Skagafj!$F$134</f>
        <v>0.61111111111111116</v>
      </c>
      <c r="L217" s="23">
        <f>[1]Skagafj!$F$150</f>
        <v>9.0909090909090912E-2</v>
      </c>
      <c r="N217" s="20">
        <f>O217/8</f>
        <v>20.75</v>
      </c>
      <c r="O217" s="1">
        <f>23+22+19+21+20+21+18+22</f>
        <v>166</v>
      </c>
      <c r="P217" s="10" t="s">
        <v>247</v>
      </c>
    </row>
    <row r="218" spans="1:16" x14ac:dyDescent="0.25">
      <c r="A218" s="1">
        <v>4</v>
      </c>
      <c r="B218" s="60" t="s">
        <v>43</v>
      </c>
      <c r="C218" s="44"/>
      <c r="D218" s="44"/>
      <c r="E218" s="25">
        <f>[1]Skagafj!$F$43</f>
        <v>0.20370370370370369</v>
      </c>
      <c r="F218" s="25">
        <f>[1]Skagafj!$F$58</f>
        <v>0.22033898305084745</v>
      </c>
      <c r="G218" s="25">
        <f>[1]Skagafj!$F$73</f>
        <v>0.20754716981132076</v>
      </c>
      <c r="H218" s="33">
        <f>[1]Skagafj!$F$88</f>
        <v>0.2711864406779661</v>
      </c>
      <c r="I218" s="25">
        <f>[1]Skagafj!$F$103</f>
        <v>0.21052631578947367</v>
      </c>
      <c r="J218" s="25">
        <f>[1]Skagafj!$F$119</f>
        <v>0.21276595744680851</v>
      </c>
      <c r="K218" s="33">
        <f>[1]Skagafj!$F$135</f>
        <v>0.38297872340425532</v>
      </c>
      <c r="L218" s="33">
        <f>[1]Skagafj!$F$151</f>
        <v>0.29411764705882354</v>
      </c>
      <c r="N218" s="20">
        <f>O218/8</f>
        <v>53.375</v>
      </c>
      <c r="O218" s="1">
        <f>54+59+53+59+57+47+47+51</f>
        <v>427</v>
      </c>
      <c r="P218" s="2" t="s">
        <v>248</v>
      </c>
    </row>
    <row r="219" spans="1:16" x14ac:dyDescent="0.25">
      <c r="A219" s="1">
        <v>5</v>
      </c>
      <c r="B219" s="60" t="s">
        <v>104</v>
      </c>
      <c r="C219" s="44"/>
      <c r="D219" s="44"/>
      <c r="E219" s="33">
        <f>[1]Skagafj!$F$44</f>
        <v>0.375</v>
      </c>
      <c r="F219" s="25">
        <f>[1]Skagafj!$F$59</f>
        <v>0.23076923076923078</v>
      </c>
      <c r="G219" s="33">
        <f>[1]Skagafj!$F$74</f>
        <v>0.25925925925925924</v>
      </c>
      <c r="H219" s="24">
        <f>[1]Skagafj!$F$89</f>
        <v>0.6</v>
      </c>
      <c r="I219" s="24">
        <f>[1]Skagafj!$F$104</f>
        <v>0.52</v>
      </c>
      <c r="J219" s="33">
        <f>[1]Skagafj!$F$120</f>
        <v>0.39130434782608697</v>
      </c>
      <c r="K219" s="33">
        <f>[1]Skagafj!$F$136</f>
        <v>0.47826086956521741</v>
      </c>
      <c r="L219" s="24">
        <f>[1]Skagafj!$F$152</f>
        <v>0.59090909090909094</v>
      </c>
      <c r="N219" s="20">
        <f>O219/8</f>
        <v>24.375</v>
      </c>
      <c r="O219" s="1">
        <f>24+26+27+25+25+23+23+22</f>
        <v>195</v>
      </c>
      <c r="P219" s="9" t="s">
        <v>249</v>
      </c>
    </row>
    <row r="220" spans="1:16" x14ac:dyDescent="0.25">
      <c r="A220" s="1">
        <v>6</v>
      </c>
      <c r="B220" s="67" t="s">
        <v>105</v>
      </c>
      <c r="C220" s="48"/>
      <c r="D220" s="44"/>
      <c r="E220" s="24">
        <f>[1]Skagafj!$F$45</f>
        <v>0.55555555555555558</v>
      </c>
      <c r="F220" s="25">
        <f>[1]Skagafj!$F$60</f>
        <v>0.15789473684210525</v>
      </c>
      <c r="G220" s="33">
        <f>[1]Skagafj!$F$75</f>
        <v>0.38095238095238093</v>
      </c>
      <c r="H220" s="33">
        <f>[1]Skagafj!$F$90</f>
        <v>0.35</v>
      </c>
      <c r="I220" s="33">
        <f>[1]Skagafj!$F$105</f>
        <v>0.26315789473684209</v>
      </c>
      <c r="J220" s="33">
        <f>[1]Skagafj!$F$121</f>
        <v>0.47619047619047616</v>
      </c>
      <c r="K220" s="32">
        <f>[1]Skagafj!$F$137</f>
        <v>0.89473684210526316</v>
      </c>
      <c r="L220" s="32">
        <f>[1]Skagafj!$F$153</f>
        <v>0.76190476190476186</v>
      </c>
      <c r="N220" s="20">
        <f>O220/8</f>
        <v>19.75</v>
      </c>
      <c r="O220" s="1">
        <f>18+19+21+20+19+21+19+21</f>
        <v>158</v>
      </c>
      <c r="P220" s="8" t="s">
        <v>250</v>
      </c>
    </row>
    <row r="221" spans="1:16" x14ac:dyDescent="0.25">
      <c r="A221" s="1">
        <v>7</v>
      </c>
      <c r="B221" s="69" t="s">
        <v>106</v>
      </c>
      <c r="C221" s="48"/>
      <c r="D221" s="44"/>
      <c r="E221" s="32">
        <f>[1]Skagafj!$F$46</f>
        <v>0.77777777777777779</v>
      </c>
      <c r="F221" s="24">
        <f>[1]Skagafj!$F$61</f>
        <v>0.52631578947368418</v>
      </c>
      <c r="G221" s="32">
        <f>[1]Skagafj!$F$76</f>
        <v>0.77777777777777779</v>
      </c>
      <c r="H221" s="24">
        <f>[1]Skagafj!$F$91</f>
        <v>0.61111111111111116</v>
      </c>
      <c r="I221" s="24">
        <f>[1]Skagafj!$F$106</f>
        <v>0.72222222222222221</v>
      </c>
      <c r="J221" s="24">
        <f>[1]Skagafj!$F$122</f>
        <v>0.57894736842105265</v>
      </c>
      <c r="K221" s="32">
        <f>[1]Skagafj!$F$138</f>
        <v>0.76470588235294112</v>
      </c>
      <c r="L221" s="24">
        <f>[1]Skagafj!$F$154</f>
        <v>0.57894736842105265</v>
      </c>
      <c r="N221" s="20">
        <f t="shared" ref="N221:N227" si="8">O221/8</f>
        <v>18.25</v>
      </c>
      <c r="O221" s="1">
        <f>18+19+18+18+18+19+17+19</f>
        <v>146</v>
      </c>
      <c r="P221" s="7" t="s">
        <v>29</v>
      </c>
    </row>
    <row r="222" spans="1:16" x14ac:dyDescent="0.25">
      <c r="A222" s="1">
        <v>8</v>
      </c>
      <c r="B222" s="67" t="s">
        <v>107</v>
      </c>
      <c r="C222" s="48"/>
      <c r="D222" s="44"/>
      <c r="E222" s="25">
        <f>[1]Skagafj!$F$47</f>
        <v>0.19672131147540983</v>
      </c>
      <c r="F222" s="25">
        <f>[1]Skagafj!$F$62</f>
        <v>0.12727272727272726</v>
      </c>
      <c r="G222" s="23">
        <f>[1]Skagafj!$F$77</f>
        <v>8.9285714285714288E-2</v>
      </c>
      <c r="H222" s="33">
        <f>[1]Skagafj!$F$92</f>
        <v>0.32</v>
      </c>
      <c r="I222" s="25">
        <f>[1]Skagafj!$F$107</f>
        <v>0.21276595744680851</v>
      </c>
      <c r="J222" s="33">
        <f>[1]Skagafj!$F$123</f>
        <v>0.43333333333333335</v>
      </c>
      <c r="K222" s="32">
        <f>[1]Skagafj!$F$139</f>
        <v>0.84615384615384615</v>
      </c>
      <c r="L222" s="33">
        <f>[1]Skagafj!$F$155</f>
        <v>0.36065573770491804</v>
      </c>
      <c r="N222" s="20">
        <f t="shared" si="8"/>
        <v>55.25</v>
      </c>
      <c r="O222" s="1">
        <f>61+55+56+50+47+60+52+61</f>
        <v>442</v>
      </c>
    </row>
    <row r="223" spans="1:16" x14ac:dyDescent="0.25">
      <c r="A223" s="1">
        <v>9</v>
      </c>
      <c r="B223" s="67" t="s">
        <v>108</v>
      </c>
      <c r="C223" s="48"/>
      <c r="D223" s="48"/>
      <c r="E223" s="25">
        <f>[1]Skagafj!$F$48</f>
        <v>0.15254237288135594</v>
      </c>
      <c r="F223" s="25">
        <f>[1]Skagafj!$F$63</f>
        <v>0.15517241379310345</v>
      </c>
      <c r="G223" s="25">
        <f>[1]Skagafj!$F$78</f>
        <v>0.14035087719298245</v>
      </c>
      <c r="H223" s="33">
        <f>[1]Skagafj!$F$93</f>
        <v>0.38709677419354838</v>
      </c>
      <c r="I223" s="33">
        <f>[1]Skagafj!$F$108</f>
        <v>0.48275862068965519</v>
      </c>
      <c r="J223" s="33">
        <f>[1]Skagafj!$F$124</f>
        <v>0.32203389830508472</v>
      </c>
      <c r="K223" s="24">
        <f>[1]Skagafj!$F$140</f>
        <v>0.64150943396226412</v>
      </c>
      <c r="L223" s="24">
        <f>[1]Skagafj!$F$156</f>
        <v>0.6428571428571429</v>
      </c>
      <c r="N223" s="20">
        <f t="shared" si="8"/>
        <v>57.75</v>
      </c>
      <c r="O223" s="1">
        <f>59+58+57+62+58+59+53+56</f>
        <v>462</v>
      </c>
    </row>
    <row r="224" spans="1:16" x14ac:dyDescent="0.25">
      <c r="A224" s="1">
        <v>10</v>
      </c>
      <c r="B224" s="67" t="s">
        <v>109</v>
      </c>
      <c r="C224" s="48"/>
      <c r="D224" s="48"/>
      <c r="E224" s="33">
        <f>[1]Skagafj!$F$49</f>
        <v>0.48484848484848486</v>
      </c>
      <c r="F224" s="24">
        <f>[1]Skagafj!$F$64</f>
        <v>0.51282051282051277</v>
      </c>
      <c r="G224" s="24">
        <f>[1]Skagafj!$F$79</f>
        <v>0.5641025641025641</v>
      </c>
      <c r="H224" s="24">
        <f>[1]Skagafj!$F$94</f>
        <v>0.72222222222222221</v>
      </c>
      <c r="I224" s="33">
        <f>[1]Skagafj!$F$109</f>
        <v>0.42857142857142855</v>
      </c>
      <c r="J224" s="24">
        <f>[1]Skagafj!$F$125</f>
        <v>0.59459459459459463</v>
      </c>
      <c r="K224" s="32">
        <f>[1]Skagafj!$F$141</f>
        <v>0.76470588235294112</v>
      </c>
      <c r="L224" s="24">
        <f>[1]Skagafj!$F$157</f>
        <v>0.6216216216216216</v>
      </c>
      <c r="N224" s="20">
        <f t="shared" si="8"/>
        <v>36.25</v>
      </c>
      <c r="O224" s="1">
        <f>33+39+39+36+35+37+34+37</f>
        <v>290</v>
      </c>
    </row>
    <row r="225" spans="1:16" x14ac:dyDescent="0.25">
      <c r="A225" s="1">
        <v>11</v>
      </c>
      <c r="B225" s="60" t="s">
        <v>110</v>
      </c>
      <c r="C225" s="44"/>
      <c r="D225" s="44"/>
      <c r="E225" s="25">
        <f>[1]Skagafj!$F$50</f>
        <v>0.22580645161290322</v>
      </c>
      <c r="F225" s="32">
        <f>[1]Skagafj!$F$65</f>
        <v>0.76923076923076927</v>
      </c>
      <c r="G225" s="33">
        <f>[1]Skagafj!$F$80</f>
        <v>0.46666666666666667</v>
      </c>
      <c r="H225" s="24">
        <f>[1]Skagafj!$F$95</f>
        <v>0.52173913043478259</v>
      </c>
      <c r="I225" s="33">
        <f>[1]Skagafj!$F$110</f>
        <v>0.375</v>
      </c>
      <c r="J225" s="24">
        <f>[1]Skagafj!$F$126</f>
        <v>0.68</v>
      </c>
      <c r="K225" s="32">
        <f>[1]Skagafj!$F$142</f>
        <v>0.78260869565217395</v>
      </c>
      <c r="L225" s="24">
        <f>[1]Skagafj!$F$158</f>
        <v>0.53846153846153844</v>
      </c>
      <c r="N225" s="20">
        <f t="shared" si="8"/>
        <v>26</v>
      </c>
      <c r="O225" s="1">
        <f>31+26+30+23+24+25+23+26</f>
        <v>208</v>
      </c>
    </row>
    <row r="226" spans="1:16" x14ac:dyDescent="0.25">
      <c r="A226" s="1">
        <v>12</v>
      </c>
      <c r="B226" s="4" t="s">
        <v>111</v>
      </c>
      <c r="C226" s="58"/>
      <c r="D226" s="58"/>
      <c r="E226" s="24">
        <f>[1]Skagafj!$F$51</f>
        <v>0.5714285714285714</v>
      </c>
      <c r="F226" s="32">
        <f>[1]Skagafj!$F$66</f>
        <v>0.89655172413793105</v>
      </c>
      <c r="G226" s="24">
        <f>[1]Skagafj!$F$81</f>
        <v>0.60606060606060608</v>
      </c>
      <c r="H226" s="24">
        <f>[1]Skagafj!$F$96</f>
        <v>0.625</v>
      </c>
      <c r="I226" s="24">
        <f>[1]Skagafj!$F$111</f>
        <v>0.53125</v>
      </c>
      <c r="J226" s="24">
        <f>[1]Skagafj!$F$127</f>
        <v>0.73076923076923073</v>
      </c>
      <c r="K226" s="32">
        <f>[1]Skagafj!$F$143</f>
        <v>0.82222222222222219</v>
      </c>
      <c r="L226" s="24">
        <f>[1]Skagafj!$F$159</f>
        <v>0.72</v>
      </c>
      <c r="N226" s="20">
        <f t="shared" si="8"/>
        <v>37.625</v>
      </c>
      <c r="O226" s="1">
        <f>28+29+33+32+32+52+45+50</f>
        <v>301</v>
      </c>
    </row>
    <row r="227" spans="1:16" ht="15.75" thickBot="1" x14ac:dyDescent="0.3">
      <c r="A227" s="1">
        <v>13</v>
      </c>
      <c r="B227" s="68" t="s">
        <v>112</v>
      </c>
      <c r="C227" s="46"/>
      <c r="D227" s="46"/>
      <c r="E227" s="41">
        <f>[1]Skagafj!$F$52</f>
        <v>3.8461538461538464E-2</v>
      </c>
      <c r="F227" s="40">
        <f>[1]Skagafj!$F$67</f>
        <v>0.16666666666666666</v>
      </c>
      <c r="G227" s="40">
        <f>[1]Skagafj!$F$82</f>
        <v>0.11538461538461539</v>
      </c>
      <c r="H227" s="42">
        <f>[1]Skagafj!$F$97</f>
        <v>0.29166666666666669</v>
      </c>
      <c r="I227" s="42">
        <f>[1]Skagafj!$F$112</f>
        <v>0.40909090909090912</v>
      </c>
      <c r="J227" s="42">
        <f>[1]Skagafj!$F$128</f>
        <v>0.37037037037037035</v>
      </c>
      <c r="K227" s="42">
        <f>[1]Skagafj!$F$144</f>
        <v>0.4</v>
      </c>
      <c r="L227" s="42">
        <f>[1]Skagafj!$F$160</f>
        <v>0.41379310344827586</v>
      </c>
      <c r="N227" s="20">
        <f t="shared" si="8"/>
        <v>26</v>
      </c>
      <c r="O227" s="1">
        <f>26+24+26+24+22+27+30+29</f>
        <v>208</v>
      </c>
    </row>
    <row r="228" spans="1:16" x14ac:dyDescent="0.25">
      <c r="C228" s="6"/>
    </row>
    <row r="229" spans="1:16" s="4" customFormat="1" x14ac:dyDescent="0.25">
      <c r="A229" s="5"/>
      <c r="B229" s="4" t="s">
        <v>11</v>
      </c>
      <c r="C229" s="50">
        <f>40/398</f>
        <v>0.10050251256281408</v>
      </c>
      <c r="D229" s="50">
        <f>42/420</f>
        <v>0.1</v>
      </c>
      <c r="E229" s="50">
        <f>[1]Skagafj!$F$53</f>
        <v>0.24379232505643342</v>
      </c>
      <c r="F229" s="51">
        <f>[1]Skagafj!$F$68</f>
        <v>0.2671081677704194</v>
      </c>
      <c r="G229" s="51">
        <f>[1]Skagafj!$F$83</f>
        <v>0.26126126126126126</v>
      </c>
      <c r="H229" s="51">
        <f>[1]Skagafj!$F$98</f>
        <v>0.36666666666666664</v>
      </c>
      <c r="I229" s="51">
        <f>[1]Skagafj!$F$113</f>
        <v>0.31578947368421051</v>
      </c>
      <c r="J229" s="51">
        <f>[1]Skagafj!$F$129</f>
        <v>0.39035087719298245</v>
      </c>
      <c r="K229" s="52">
        <f>[1]Skagafj!$F$145</f>
        <v>0.56781609195402294</v>
      </c>
      <c r="L229" s="51">
        <f>[1]Skagafj!$F$161</f>
        <v>0.46103896103896103</v>
      </c>
      <c r="N229" s="20">
        <f>O229/8</f>
        <v>447.5</v>
      </c>
      <c r="O229" s="1">
        <f>443+453+444+450+437+456+435+462</f>
        <v>3580</v>
      </c>
    </row>
    <row r="230" spans="1:16" x14ac:dyDescent="0.25">
      <c r="B230" s="4" t="s">
        <v>193</v>
      </c>
      <c r="C230" s="50">
        <v>0.19900000000000001</v>
      </c>
      <c r="E230" s="50">
        <v>0.248</v>
      </c>
      <c r="G230" s="51">
        <v>0.312</v>
      </c>
      <c r="H230" s="51">
        <v>0.308</v>
      </c>
      <c r="I230" s="51">
        <v>0.26200000000000001</v>
      </c>
      <c r="J230" s="51">
        <v>0.48499999999999999</v>
      </c>
      <c r="K230" s="52">
        <v>0.53800000000000003</v>
      </c>
      <c r="L230" s="70">
        <v>0.53100000000000003</v>
      </c>
    </row>
    <row r="231" spans="1:16" x14ac:dyDescent="0.25">
      <c r="B231" s="13" t="s">
        <v>235</v>
      </c>
    </row>
    <row r="232" spans="1:16" x14ac:dyDescent="0.25">
      <c r="B232" s="13" t="s">
        <v>194</v>
      </c>
      <c r="M232" s="1"/>
    </row>
    <row r="233" spans="1:16" x14ac:dyDescent="0.25">
      <c r="B233" s="13" t="s">
        <v>228</v>
      </c>
      <c r="M233" s="1"/>
    </row>
    <row r="236" spans="1:16" ht="18.75" x14ac:dyDescent="0.3">
      <c r="B236" s="75" t="s">
        <v>113</v>
      </c>
      <c r="E236" s="3"/>
      <c r="L236" s="12"/>
      <c r="N236" s="5" t="s">
        <v>26</v>
      </c>
      <c r="O236" s="5" t="s">
        <v>189</v>
      </c>
    </row>
    <row r="237" spans="1:16" s="4" customFormat="1" ht="15.75" thickBot="1" x14ac:dyDescent="0.3">
      <c r="A237" s="5"/>
      <c r="C237" s="27">
        <v>1874</v>
      </c>
      <c r="D237" s="28">
        <v>1880</v>
      </c>
      <c r="E237" s="28">
        <v>1886</v>
      </c>
      <c r="F237" s="28">
        <v>1892</v>
      </c>
      <c r="G237" s="28">
        <v>1894</v>
      </c>
      <c r="H237" s="28">
        <v>1900</v>
      </c>
      <c r="I237" s="28">
        <v>1902</v>
      </c>
      <c r="J237" s="28">
        <v>1903</v>
      </c>
      <c r="N237" s="5" t="s">
        <v>27</v>
      </c>
      <c r="O237" s="5" t="s">
        <v>190</v>
      </c>
    </row>
    <row r="238" spans="1:16" x14ac:dyDescent="0.25">
      <c r="A238" s="1">
        <v>1</v>
      </c>
      <c r="B238" s="60" t="s">
        <v>110</v>
      </c>
      <c r="C238" s="23">
        <f>[1]Húnav!$F$8</f>
        <v>3.8461538461538464E-2</v>
      </c>
      <c r="D238" s="23">
        <f>[1]Húnav!$F$23</f>
        <v>0</v>
      </c>
      <c r="E238" s="33">
        <f>[1]Húnav!$F$39</f>
        <v>0.27272727272727271</v>
      </c>
      <c r="F238" s="23">
        <f>[1]Húnav!$F$55</f>
        <v>5.8823529411764705E-2</v>
      </c>
      <c r="G238" s="23">
        <f>[1]Húnav!$F$71</f>
        <v>0</v>
      </c>
      <c r="H238" s="23">
        <f>[1]Húnav!$F$87</f>
        <v>0</v>
      </c>
      <c r="I238" s="25">
        <f>[1]Húnav!$F$103</f>
        <v>0.23529411764705882</v>
      </c>
      <c r="J238" s="33">
        <f>[1]Húnav!$F$119</f>
        <v>0.27777777777777779</v>
      </c>
      <c r="N238" s="20">
        <f>O238/8</f>
        <v>19</v>
      </c>
      <c r="O238" s="1">
        <f>26+17+22+17+17+18+17+18</f>
        <v>152</v>
      </c>
    </row>
    <row r="239" spans="1:16" x14ac:dyDescent="0.25">
      <c r="A239" s="1">
        <v>2</v>
      </c>
      <c r="B239" s="60" t="s">
        <v>114</v>
      </c>
      <c r="C239" s="33">
        <f>[1]Húnav!$F$9</f>
        <v>0.2857142857142857</v>
      </c>
      <c r="D239" s="53"/>
      <c r="E239" s="53"/>
      <c r="F239" s="53"/>
      <c r="G239" s="53"/>
      <c r="H239" s="53"/>
      <c r="I239" s="53"/>
      <c r="J239" s="53"/>
      <c r="N239" s="20">
        <f>O239</f>
        <v>70</v>
      </c>
      <c r="O239" s="1">
        <v>70</v>
      </c>
      <c r="P239" s="11" t="s">
        <v>246</v>
      </c>
    </row>
    <row r="240" spans="1:16" x14ac:dyDescent="0.25">
      <c r="A240" s="1">
        <v>3</v>
      </c>
      <c r="B240" s="60" t="s">
        <v>115</v>
      </c>
      <c r="C240" s="53"/>
      <c r="D240" s="25">
        <f>[1]Húnav!$F$24</f>
        <v>0.13043478260869565</v>
      </c>
      <c r="E240" s="25">
        <f>[1]Húnav!$F$40</f>
        <v>0.23529411764705882</v>
      </c>
      <c r="F240" s="25">
        <f>[1]Húnav!$F$56</f>
        <v>0.21428571428571427</v>
      </c>
      <c r="G240" s="23">
        <f>[1]Húnav!$F$72</f>
        <v>0</v>
      </c>
      <c r="H240" s="24">
        <f>[1]Húnav!$F$88</f>
        <v>0.5161290322580645</v>
      </c>
      <c r="I240" s="24">
        <f>[1]Húnav!$F$104</f>
        <v>0.56000000000000005</v>
      </c>
      <c r="J240" s="24">
        <f>[1]Húnav!$F$120</f>
        <v>0.53846153846153844</v>
      </c>
      <c r="N240" s="20">
        <f>O240/7</f>
        <v>31</v>
      </c>
      <c r="O240" s="1">
        <f>46+34+28+27+31+25+26</f>
        <v>217</v>
      </c>
      <c r="P240" s="10" t="s">
        <v>247</v>
      </c>
    </row>
    <row r="241" spans="1:16" x14ac:dyDescent="0.25">
      <c r="A241" s="1">
        <v>4</v>
      </c>
      <c r="B241" s="60" t="s">
        <v>116</v>
      </c>
      <c r="C241" s="53"/>
      <c r="D241" s="25">
        <f>[1]Húnav!$F$25</f>
        <v>0.18518518518518517</v>
      </c>
      <c r="E241" s="25">
        <f>[1]Húnav!$F$41</f>
        <v>0.22580645161290322</v>
      </c>
      <c r="F241" s="33">
        <f>[1]Húnav!$F$57</f>
        <v>0.43478260869565216</v>
      </c>
      <c r="G241" s="23">
        <f>[1]Húnav!$F$73</f>
        <v>3.8461538461538464E-2</v>
      </c>
      <c r="H241" s="33">
        <f>[1]Húnav!$F$89</f>
        <v>0.32258064516129031</v>
      </c>
      <c r="I241" s="24">
        <f>[1]Húnav!$F$105</f>
        <v>0.62857142857142856</v>
      </c>
      <c r="J241" s="24">
        <f>[1]Húnav!$F$121</f>
        <v>0.6470588235294118</v>
      </c>
      <c r="N241" s="20">
        <f>O241/7</f>
        <v>29.571428571428573</v>
      </c>
      <c r="O241" s="1">
        <f>27+31+23+26+31+35+34</f>
        <v>207</v>
      </c>
      <c r="P241" s="2" t="s">
        <v>248</v>
      </c>
    </row>
    <row r="242" spans="1:16" x14ac:dyDescent="0.25">
      <c r="A242" s="1">
        <v>5</v>
      </c>
      <c r="B242" s="60" t="s">
        <v>117</v>
      </c>
      <c r="C242" s="33">
        <f>[1]Húnav!$F$10</f>
        <v>0.25641025641025639</v>
      </c>
      <c r="D242" s="25">
        <f>[1]Húnav!$F$26</f>
        <v>0.18604651162790697</v>
      </c>
      <c r="E242" s="23">
        <f>[1]Húnav!$F$42</f>
        <v>6.6666666666666666E-2</v>
      </c>
      <c r="F242" s="25">
        <f>[1]Húnav!$F$58</f>
        <v>0.12121212121212122</v>
      </c>
      <c r="G242" s="23">
        <f>[1]Húnav!$F$74</f>
        <v>0</v>
      </c>
      <c r="H242" s="23">
        <f>[1]Húnav!$F$90</f>
        <v>8.5714285714285715E-2</v>
      </c>
      <c r="I242" s="24">
        <f>[1]Húnav!$F$106</f>
        <v>0.54285714285714282</v>
      </c>
      <c r="J242" s="24">
        <f>[1]Húnav!$F$122</f>
        <v>0.6216216216216216</v>
      </c>
      <c r="N242" s="20">
        <f>O242/8</f>
        <v>39.25</v>
      </c>
      <c r="O242" s="1">
        <f>39+43+45+33+47+35+35+37</f>
        <v>314</v>
      </c>
      <c r="P242" s="9" t="s">
        <v>249</v>
      </c>
    </row>
    <row r="243" spans="1:16" x14ac:dyDescent="0.25">
      <c r="A243" s="1">
        <v>6</v>
      </c>
      <c r="B243" s="67" t="s">
        <v>118</v>
      </c>
      <c r="C243" s="25">
        <f>[1]Húnav!$F$11</f>
        <v>0.14285714285714285</v>
      </c>
      <c r="D243" s="25">
        <f>[1]Húnav!$F$27</f>
        <v>0.24324324324324326</v>
      </c>
      <c r="E243" s="33">
        <f>[1]Húnav!$F$43</f>
        <v>0.39473684210526316</v>
      </c>
      <c r="F243" s="25">
        <f>[1]Húnav!$F$59</f>
        <v>0.15384615384615385</v>
      </c>
      <c r="G243" s="23">
        <f>[1]Húnav!$F$75</f>
        <v>0</v>
      </c>
      <c r="H243" s="33">
        <f>[1]Húnav!$F$91</f>
        <v>0.27500000000000002</v>
      </c>
      <c r="I243" s="24">
        <f>[1]Húnav!$F$107</f>
        <v>0.57894736842105265</v>
      </c>
      <c r="J243" s="24">
        <f>[1]Húnav!$F$123</f>
        <v>0.63157894736842102</v>
      </c>
      <c r="N243" s="20">
        <f>O243/8</f>
        <v>39</v>
      </c>
      <c r="O243" s="1">
        <f>42+37+38+39+40+40+38+38</f>
        <v>312</v>
      </c>
      <c r="P243" s="8" t="s">
        <v>250</v>
      </c>
    </row>
    <row r="244" spans="1:16" x14ac:dyDescent="0.25">
      <c r="A244" s="1">
        <v>7</v>
      </c>
      <c r="B244" s="67" t="s">
        <v>119</v>
      </c>
      <c r="C244" s="24">
        <f>[1]Húnav!$F$12</f>
        <v>0.58064516129032262</v>
      </c>
      <c r="D244" s="33">
        <f>[1]Húnav!$F$28</f>
        <v>0.2857142857142857</v>
      </c>
      <c r="E244" s="24">
        <f>[1]Húnav!$F$44</f>
        <v>0.51428571428571423</v>
      </c>
      <c r="F244" s="33">
        <f>[1]Húnav!$F$60</f>
        <v>0.37142857142857144</v>
      </c>
      <c r="G244" s="25">
        <f>[1]Húnav!$F$76</f>
        <v>0.12195121951219512</v>
      </c>
      <c r="H244" s="25">
        <f>[1]Húnav!$F$92</f>
        <v>0.2</v>
      </c>
      <c r="I244" s="32">
        <f>[1]Húnav!$F$108</f>
        <v>0.76666666666666672</v>
      </c>
      <c r="J244" s="24">
        <f>[1]Húnav!$F$124</f>
        <v>0.7</v>
      </c>
      <c r="N244" s="20">
        <f t="shared" ref="N244:N251" si="9">O244/8</f>
        <v>33.375</v>
      </c>
      <c r="O244" s="1">
        <f>31+35+35+35+41+30+30+30</f>
        <v>267</v>
      </c>
      <c r="P244" s="7" t="s">
        <v>29</v>
      </c>
    </row>
    <row r="245" spans="1:16" x14ac:dyDescent="0.25">
      <c r="A245" s="1">
        <v>8</v>
      </c>
      <c r="B245" s="67" t="s">
        <v>120</v>
      </c>
      <c r="C245" s="32">
        <f>[1]Húnav!$F$13</f>
        <v>0.75</v>
      </c>
      <c r="D245" s="33">
        <f>[1]Húnav!$F$29</f>
        <v>0.3888888888888889</v>
      </c>
      <c r="E245" s="24">
        <f>[1]Húnav!$F$45</f>
        <v>0.61904761904761907</v>
      </c>
      <c r="F245" s="24">
        <f>[1]Húnav!$F$61</f>
        <v>0.58333333333333337</v>
      </c>
      <c r="G245" s="33">
        <f>[1]Húnav!$F$77</f>
        <v>0.4</v>
      </c>
      <c r="H245" s="24">
        <f>[1]Húnav!$F$93</f>
        <v>0.62962962962962965</v>
      </c>
      <c r="I245" s="32">
        <f>[1]Húnav!$F$109</f>
        <v>0.84615384615384615</v>
      </c>
      <c r="J245" s="32">
        <f>[1]Húnav!$F$125</f>
        <v>0.83333333333333337</v>
      </c>
      <c r="N245" s="20">
        <f t="shared" si="9"/>
        <v>23.125</v>
      </c>
      <c r="O245" s="1">
        <f>20+18+21+24+25+27+26+24</f>
        <v>185</v>
      </c>
    </row>
    <row r="246" spans="1:16" x14ac:dyDescent="0.25">
      <c r="A246" s="1">
        <v>9</v>
      </c>
      <c r="B246" s="69" t="s">
        <v>121</v>
      </c>
      <c r="C246" s="32">
        <f>[1]Húnav!$F$14</f>
        <v>0.88888888888888884</v>
      </c>
      <c r="D246" s="24">
        <f>[1]Húnav!$F$30</f>
        <v>0.70588235294117652</v>
      </c>
      <c r="E246" s="32">
        <f>[1]Húnav!$F$46</f>
        <v>0.8</v>
      </c>
      <c r="F246" s="33">
        <f>[1]Húnav!$F$62</f>
        <v>0.45454545454545453</v>
      </c>
      <c r="G246" s="33">
        <f>[1]Húnav!$F$78</f>
        <v>0.33333333333333331</v>
      </c>
      <c r="H246" s="32">
        <f>[1]Húnav!$F$94</f>
        <v>0.78947368421052633</v>
      </c>
      <c r="I246" s="26">
        <f>[1]Húnav!$F$110</f>
        <v>0.94444444444444442</v>
      </c>
      <c r="J246" s="26">
        <f>[1]Húnav!$F$126</f>
        <v>0.9</v>
      </c>
      <c r="N246" s="20">
        <f t="shared" si="9"/>
        <v>19.125</v>
      </c>
      <c r="O246" s="1">
        <f>18+17+15+22+24+19+18+20</f>
        <v>153</v>
      </c>
    </row>
    <row r="247" spans="1:16" x14ac:dyDescent="0.25">
      <c r="A247" s="1">
        <v>10</v>
      </c>
      <c r="B247" s="69" t="s">
        <v>122</v>
      </c>
      <c r="C247" s="24">
        <f>[1]Húnav!$F$15</f>
        <v>0.5</v>
      </c>
      <c r="D247" s="24">
        <f>[1]Húnav!$F$31</f>
        <v>0.5</v>
      </c>
      <c r="E247" s="33">
        <f>[1]Húnav!$F$47</f>
        <v>0.42857142857142855</v>
      </c>
      <c r="F247" s="33">
        <f>[1]Húnav!$F$63</f>
        <v>0.26315789473684209</v>
      </c>
      <c r="G247" s="33">
        <f>[1]Húnav!$F$79</f>
        <v>0.25</v>
      </c>
      <c r="H247" s="24">
        <f>[1]Húnav!$F$95</f>
        <v>0.55555555555555558</v>
      </c>
      <c r="I247" s="32">
        <f>[1]Húnav!$F$111</f>
        <v>0.76</v>
      </c>
      <c r="J247" s="26">
        <f>[1]Húnav!$F$127</f>
        <v>0.95</v>
      </c>
      <c r="N247" s="20">
        <f t="shared" si="9"/>
        <v>21</v>
      </c>
      <c r="O247" s="1">
        <f>16+20+21+19+20+27+25+20</f>
        <v>168</v>
      </c>
    </row>
    <row r="248" spans="1:16" x14ac:dyDescent="0.25">
      <c r="A248" s="1">
        <v>11</v>
      </c>
      <c r="B248" s="60" t="s">
        <v>123</v>
      </c>
      <c r="C248" s="33">
        <f>[1]Húnav!$F$16</f>
        <v>0.32258064516129031</v>
      </c>
      <c r="D248" s="33">
        <f>[1]Húnav!$F$32</f>
        <v>0.44444444444444442</v>
      </c>
      <c r="E248" s="24">
        <f>[1]Húnav!$F$48</f>
        <v>0.6071428571428571</v>
      </c>
      <c r="F248" s="25">
        <f>[1]Húnav!$F$64</f>
        <v>0.22222222222222221</v>
      </c>
      <c r="G248" s="25">
        <f>[1]Húnav!$F$80</f>
        <v>0.15384615384615385</v>
      </c>
      <c r="H248" s="24">
        <f>[1]Húnav!$F$96</f>
        <v>0.6</v>
      </c>
      <c r="I248" s="32">
        <f>[1]Húnav!$F$112</f>
        <v>0.75</v>
      </c>
      <c r="J248" s="24">
        <f>[1]Húnav!$F$128</f>
        <v>0.7407407407407407</v>
      </c>
      <c r="N248" s="20">
        <f t="shared" si="9"/>
        <v>28</v>
      </c>
      <c r="O248" s="1">
        <f>31+27+28+27+26+30+28+27</f>
        <v>224</v>
      </c>
    </row>
    <row r="249" spans="1:16" x14ac:dyDescent="0.25">
      <c r="A249" s="1">
        <v>12</v>
      </c>
      <c r="B249" s="67" t="s">
        <v>124</v>
      </c>
      <c r="C249" s="25">
        <f>[1]Húnav!$F$17</f>
        <v>0.13043478260869565</v>
      </c>
      <c r="D249" s="25">
        <f>[1]Húnav!$F$33</f>
        <v>0.11538461538461539</v>
      </c>
      <c r="E249" s="25">
        <f>[1]Húnav!$F$49</f>
        <v>0.22</v>
      </c>
      <c r="F249" s="23">
        <f>[1]Húnav!$F$65</f>
        <v>2.1276595744680851E-2</v>
      </c>
      <c r="G249" s="23">
        <f>[1]Húnav!$F$81</f>
        <v>0</v>
      </c>
      <c r="H249" s="33">
        <f>[1]Húnav!$F$97</f>
        <v>0.34090909090909088</v>
      </c>
      <c r="I249" s="32">
        <f>[1]Húnav!$F$113</f>
        <v>0.85</v>
      </c>
      <c r="J249" s="32">
        <f>[1]Húnav!$F$129</f>
        <v>0.83720930232558144</v>
      </c>
      <c r="N249" s="20">
        <f t="shared" si="9"/>
        <v>46</v>
      </c>
      <c r="O249" s="1">
        <f>46+52+50+47+46+44+40+43</f>
        <v>368</v>
      </c>
    </row>
    <row r="250" spans="1:16" x14ac:dyDescent="0.25">
      <c r="A250" s="1">
        <v>13</v>
      </c>
      <c r="B250" t="s">
        <v>125</v>
      </c>
      <c r="C250" s="25">
        <f>[1]Húnav!$F$18</f>
        <v>0.1875</v>
      </c>
      <c r="D250" s="33">
        <f>[1]Húnav!$F$34</f>
        <v>0.40540540540540543</v>
      </c>
      <c r="E250" s="33">
        <f>[1]Húnav!$F$50</f>
        <v>0.375</v>
      </c>
      <c r="F250" s="23">
        <f>[1]Húnav!$F$66</f>
        <v>7.6923076923076927E-2</v>
      </c>
      <c r="G250" s="25">
        <f>[1]Húnav!$F$82</f>
        <v>0.10344827586206896</v>
      </c>
      <c r="H250" s="24">
        <f>[1]Húnav!$F$98</f>
        <v>0.6333333333333333</v>
      </c>
      <c r="I250" s="32">
        <f>[1]Húnav!$F$114</f>
        <v>0.8</v>
      </c>
      <c r="J250" s="24">
        <f>[1]Húnav!$F$130</f>
        <v>0.71875</v>
      </c>
      <c r="N250" s="20">
        <f t="shared" si="9"/>
        <v>30</v>
      </c>
      <c r="O250" s="1">
        <f>32+37+24+26+29+30+30+32</f>
        <v>240</v>
      </c>
    </row>
    <row r="251" spans="1:16" ht="15.75" thickBot="1" x14ac:dyDescent="0.3">
      <c r="A251" s="1">
        <v>14</v>
      </c>
      <c r="B251" s="68" t="s">
        <v>126</v>
      </c>
      <c r="C251" s="41">
        <f>[1]Húnav!$F$19</f>
        <v>2.3529411764705882E-2</v>
      </c>
      <c r="D251" s="40">
        <f>[1]Húnav!$F$35</f>
        <v>0.2</v>
      </c>
      <c r="E251" s="40">
        <f>[1]Húnav!$F$51</f>
        <v>0.1</v>
      </c>
      <c r="F251" s="41">
        <f>[1]Húnav!$F$67</f>
        <v>2.3255813953488372E-2</v>
      </c>
      <c r="G251" s="40">
        <f>[1]Húnav!$F$83</f>
        <v>0.1</v>
      </c>
      <c r="H251" s="43">
        <f>[1]Húnav!$F$99</f>
        <v>0.64814814814814814</v>
      </c>
      <c r="I251" s="43">
        <f>[1]Húnav!$F$115</f>
        <v>0.50847457627118642</v>
      </c>
      <c r="J251" s="43">
        <f>[1]Húnav!$F$131</f>
        <v>0.71153846153846156</v>
      </c>
      <c r="N251" s="20">
        <f t="shared" si="9"/>
        <v>58.5</v>
      </c>
      <c r="O251" s="1">
        <f>85+75+50+43+50+54+59+52</f>
        <v>468</v>
      </c>
    </row>
    <row r="252" spans="1:16" x14ac:dyDescent="0.25">
      <c r="C252" s="6"/>
    </row>
    <row r="253" spans="1:16" s="4" customFormat="1" x14ac:dyDescent="0.25">
      <c r="A253" s="5"/>
      <c r="B253" s="4" t="s">
        <v>11</v>
      </c>
      <c r="C253" s="51">
        <f>[1]Húnav!$F$20</f>
        <v>0.25877192982456143</v>
      </c>
      <c r="D253" s="51">
        <f>[1]Húnav!$F$36</f>
        <v>0.25498891352549891</v>
      </c>
      <c r="E253" s="51">
        <f>[1]Húnav!$F$52</f>
        <v>0.32125603864734298</v>
      </c>
      <c r="F253" s="50">
        <f>[1]Húnav!$F$68</f>
        <v>0.20626631853785901</v>
      </c>
      <c r="G253" s="49">
        <f>[1]Húnav!$F$84</f>
        <v>9.8086124401913874E-2</v>
      </c>
      <c r="H253" s="51">
        <f>[1]Húnav!$F$100</f>
        <v>0.43269230769230771</v>
      </c>
      <c r="I253" s="52">
        <f>[1]Húnav!$F$116</f>
        <v>0.66748768472906406</v>
      </c>
      <c r="J253" s="52">
        <f>[1]Húnav!$F$132</f>
        <v>0.70324189526184544</v>
      </c>
      <c r="N253" s="20">
        <f>O253/8</f>
        <v>418.125</v>
      </c>
      <c r="O253" s="1">
        <f>456+451+414+383+418+416+406+401</f>
        <v>3345</v>
      </c>
    </row>
    <row r="254" spans="1:16" x14ac:dyDescent="0.25">
      <c r="B254" s="4" t="s">
        <v>193</v>
      </c>
      <c r="C254" s="50">
        <v>0.19900000000000001</v>
      </c>
      <c r="D254" s="50">
        <v>0.248</v>
      </c>
      <c r="E254" s="51">
        <v>0.312</v>
      </c>
      <c r="F254" s="51">
        <v>0.308</v>
      </c>
      <c r="G254" s="51">
        <v>0.26200000000000001</v>
      </c>
      <c r="H254" s="51">
        <v>0.48499999999999999</v>
      </c>
      <c r="I254" s="52">
        <v>0.53800000000000003</v>
      </c>
      <c r="J254" s="70">
        <v>0.53100000000000003</v>
      </c>
    </row>
    <row r="255" spans="1:16" x14ac:dyDescent="0.25">
      <c r="B255" s="13" t="s">
        <v>195</v>
      </c>
    </row>
    <row r="256" spans="1:16" x14ac:dyDescent="0.25">
      <c r="B256" t="s">
        <v>229</v>
      </c>
    </row>
    <row r="259" spans="1:16" ht="18.75" x14ac:dyDescent="0.3">
      <c r="B259" s="75" t="s">
        <v>127</v>
      </c>
      <c r="E259" s="3"/>
      <c r="L259" s="12"/>
      <c r="N259" s="5" t="s">
        <v>26</v>
      </c>
      <c r="O259" s="5" t="s">
        <v>189</v>
      </c>
    </row>
    <row r="260" spans="1:16" s="4" customFormat="1" ht="15.75" thickBot="1" x14ac:dyDescent="0.3">
      <c r="A260" s="5"/>
      <c r="C260" s="27">
        <v>1874</v>
      </c>
      <c r="D260" s="28">
        <v>1878</v>
      </c>
      <c r="E260" s="28">
        <v>1880</v>
      </c>
      <c r="F260" s="28">
        <v>1886</v>
      </c>
      <c r="G260" s="28">
        <v>1892</v>
      </c>
      <c r="H260" s="28">
        <v>1894</v>
      </c>
      <c r="I260" s="28">
        <v>1900</v>
      </c>
      <c r="J260" s="28">
        <v>1902</v>
      </c>
      <c r="K260" s="28">
        <v>1903</v>
      </c>
      <c r="N260" s="5" t="s">
        <v>27</v>
      </c>
      <c r="O260" s="5" t="s">
        <v>190</v>
      </c>
    </row>
    <row r="261" spans="1:16" x14ac:dyDescent="0.25">
      <c r="A261" s="1">
        <v>1</v>
      </c>
      <c r="B261" s="60" t="s">
        <v>40</v>
      </c>
      <c r="C261" s="25">
        <f>[1]Strandir!$F$8</f>
        <v>0.10714285714285714</v>
      </c>
      <c r="D261" s="25">
        <f>[1]Strandir!$F$17</f>
        <v>0.125</v>
      </c>
      <c r="E261" s="33">
        <f>[1]Strandir!$F$26</f>
        <v>0.29166666666666669</v>
      </c>
      <c r="F261" s="44"/>
      <c r="G261" s="44"/>
      <c r="H261" s="44"/>
      <c r="I261" s="33">
        <f>[1]Strandir!$F$63</f>
        <v>0.45161290322580644</v>
      </c>
      <c r="J261" s="33">
        <f>[1]Strandir!$F$73</f>
        <v>0.4</v>
      </c>
      <c r="K261" s="23">
        <f>[1]Strandir!$F$83</f>
        <v>5.7142857142857141E-2</v>
      </c>
      <c r="N261" s="20">
        <f>O261/6</f>
        <v>30</v>
      </c>
      <c r="O261" s="1">
        <f>28+32+24+31+30+35</f>
        <v>180</v>
      </c>
    </row>
    <row r="262" spans="1:16" x14ac:dyDescent="0.25">
      <c r="A262" s="1">
        <v>2</v>
      </c>
      <c r="B262" s="22" t="s">
        <v>133</v>
      </c>
      <c r="C262" s="25">
        <f>[1]Strandir!$F$9</f>
        <v>0.15625</v>
      </c>
      <c r="D262" s="24">
        <f>[1]Strandir!$F$18</f>
        <v>0.5</v>
      </c>
      <c r="E262" s="33">
        <f>[1]Strandir!$F$27</f>
        <v>0.44</v>
      </c>
      <c r="F262" s="44"/>
      <c r="G262" s="44"/>
      <c r="H262" s="44"/>
      <c r="I262" s="53"/>
      <c r="J262" s="53"/>
      <c r="K262" s="53"/>
      <c r="N262" s="20">
        <f>O262/3</f>
        <v>29.666666666666668</v>
      </c>
      <c r="O262" s="1">
        <f>32+32+25</f>
        <v>89</v>
      </c>
      <c r="P262" s="11" t="s">
        <v>246</v>
      </c>
    </row>
    <row r="263" spans="1:16" x14ac:dyDescent="0.25">
      <c r="A263" s="1">
        <v>3</v>
      </c>
      <c r="B263" s="60" t="s">
        <v>128</v>
      </c>
      <c r="C263" s="53"/>
      <c r="D263" s="53"/>
      <c r="E263" s="53"/>
      <c r="F263" s="44"/>
      <c r="G263" s="44"/>
      <c r="H263" s="44"/>
      <c r="I263" s="24">
        <f>[1]Strandir!$F$64</f>
        <v>0.6</v>
      </c>
      <c r="J263" s="24">
        <f>[1]Strandir!$F$74</f>
        <v>0.5</v>
      </c>
      <c r="K263" s="33">
        <f>[1]Strandir!$F$84</f>
        <v>0.36363636363636365</v>
      </c>
      <c r="N263" s="20">
        <f>O263/3</f>
        <v>10.333333333333334</v>
      </c>
      <c r="O263" s="1">
        <f>10+10+11</f>
        <v>31</v>
      </c>
      <c r="P263" s="10" t="s">
        <v>247</v>
      </c>
    </row>
    <row r="264" spans="1:16" x14ac:dyDescent="0.25">
      <c r="A264" s="1">
        <v>4</v>
      </c>
      <c r="B264" s="22" t="s">
        <v>103</v>
      </c>
      <c r="C264" s="53"/>
      <c r="D264" s="53"/>
      <c r="E264" s="53"/>
      <c r="F264" s="44"/>
      <c r="G264" s="44"/>
      <c r="H264" s="44"/>
      <c r="I264" s="24">
        <f>[1]Strandir!$F$65</f>
        <v>0.73333333333333328</v>
      </c>
      <c r="J264" s="24">
        <f>[1]Strandir!$F$75</f>
        <v>0.5714285714285714</v>
      </c>
      <c r="K264" s="24">
        <f>[1]Strandir!$F$85</f>
        <v>0.53846153846153844</v>
      </c>
      <c r="N264" s="20">
        <f>O264/3</f>
        <v>16</v>
      </c>
      <c r="O264" s="1">
        <f>15+14+19</f>
        <v>48</v>
      </c>
      <c r="P264" s="2" t="s">
        <v>248</v>
      </c>
    </row>
    <row r="265" spans="1:16" x14ac:dyDescent="0.25">
      <c r="A265" s="1">
        <v>5</v>
      </c>
      <c r="B265" s="22" t="s">
        <v>129</v>
      </c>
      <c r="C265" s="33">
        <f>[1]Strandir!$F$10</f>
        <v>0.38095238095238093</v>
      </c>
      <c r="D265" s="33">
        <f>[1]Strandir!$F$19</f>
        <v>0.3888888888888889</v>
      </c>
      <c r="E265" s="24">
        <f>[1]Strandir!$F$28</f>
        <v>0.61111111111111116</v>
      </c>
      <c r="F265" s="44"/>
      <c r="G265" s="44"/>
      <c r="H265" s="44"/>
      <c r="I265" s="24">
        <f>[1]Strandir!$F$66</f>
        <v>0.625</v>
      </c>
      <c r="J265" s="24">
        <f>[1]Strandir!$F$76</f>
        <v>0.66666666666666663</v>
      </c>
      <c r="K265" s="24">
        <f>[1]Strandir!$F$86</f>
        <v>0.63157894736842102</v>
      </c>
      <c r="N265" s="20">
        <f>O265/6</f>
        <v>18.833333333333332</v>
      </c>
      <c r="O265" s="1">
        <f>21+18+18+16+21+19</f>
        <v>113</v>
      </c>
      <c r="P265" s="9" t="s">
        <v>249</v>
      </c>
    </row>
    <row r="266" spans="1:16" x14ac:dyDescent="0.25">
      <c r="A266" s="1">
        <v>6</v>
      </c>
      <c r="B266" s="67" t="s">
        <v>130</v>
      </c>
      <c r="C266" s="25">
        <f>[1]Strandir!$F$11</f>
        <v>0.10526315789473684</v>
      </c>
      <c r="D266" s="25">
        <f>[1]Strandir!$F$20</f>
        <v>0.21052631578947367</v>
      </c>
      <c r="E266" s="25">
        <f>[1]Strandir!$F$29</f>
        <v>0.10526315789473684</v>
      </c>
      <c r="F266" s="44"/>
      <c r="G266" s="44"/>
      <c r="H266" s="44"/>
      <c r="I266" s="24">
        <f>[1]Strandir!$F$67</f>
        <v>0.61904761904761907</v>
      </c>
      <c r="J266" s="33">
        <f>[1]Strandir!$F$77</f>
        <v>0.31578947368421051</v>
      </c>
      <c r="K266" s="33">
        <f>[1]Strandir!$F$87</f>
        <v>0.25</v>
      </c>
      <c r="N266" s="20">
        <f>O266/6</f>
        <v>19.5</v>
      </c>
      <c r="O266" s="1">
        <f>19+19+19+21+19+20</f>
        <v>117</v>
      </c>
      <c r="P266" s="8" t="s">
        <v>250</v>
      </c>
    </row>
    <row r="267" spans="1:16" x14ac:dyDescent="0.25">
      <c r="A267" s="1">
        <v>7</v>
      </c>
      <c r="B267" s="67" t="s">
        <v>131</v>
      </c>
      <c r="C267" s="23">
        <f>[1]Strandir!$F$12</f>
        <v>8.5714285714285715E-2</v>
      </c>
      <c r="D267" s="25">
        <f>[1]Strandir!$F$21</f>
        <v>0.13043478260869565</v>
      </c>
      <c r="E267" s="33">
        <f>[1]Strandir!$F$30</f>
        <v>0.32258064516129031</v>
      </c>
      <c r="F267" s="44"/>
      <c r="G267" s="44"/>
      <c r="H267" s="44"/>
      <c r="I267" s="33">
        <f>[1]Strandir!$F$68</f>
        <v>0.34482758620689657</v>
      </c>
      <c r="J267" s="25">
        <f>[1]Strandir!$F$78</f>
        <v>0.17241379310344829</v>
      </c>
      <c r="K267" s="25">
        <f>[1]Strandir!$F$88</f>
        <v>7.1428571428571425E-2</v>
      </c>
      <c r="N267" s="20">
        <f>O267/6</f>
        <v>29.166666666666668</v>
      </c>
      <c r="O267" s="1">
        <f>35+23+31+29+29+28</f>
        <v>175</v>
      </c>
      <c r="P267" s="7" t="s">
        <v>29</v>
      </c>
    </row>
    <row r="268" spans="1:16" ht="15.75" thickBot="1" x14ac:dyDescent="0.3">
      <c r="A268" s="1">
        <v>8</v>
      </c>
      <c r="B268" s="68" t="s">
        <v>132</v>
      </c>
      <c r="C268" s="41">
        <f>[1]Strandir!$F$13</f>
        <v>0</v>
      </c>
      <c r="D268" s="41">
        <f>[1]Strandir!$F$22</f>
        <v>0</v>
      </c>
      <c r="E268" s="41">
        <f>[1]Strandir!$F$31</f>
        <v>3.5714285714285712E-2</v>
      </c>
      <c r="F268" s="46"/>
      <c r="G268" s="46"/>
      <c r="H268" s="46"/>
      <c r="I268" s="41">
        <f>[1]Strandir!$F$69</f>
        <v>0</v>
      </c>
      <c r="J268" s="41">
        <f>[1]Strandir!$F$79</f>
        <v>0</v>
      </c>
      <c r="K268" s="42">
        <f>[1]Strandir!$F$89</f>
        <v>0.4358974358974359</v>
      </c>
      <c r="N268" s="20">
        <f>O268/6</f>
        <v>34.5</v>
      </c>
      <c r="O268" s="1">
        <f>32+35+28+36+37+39</f>
        <v>207</v>
      </c>
    </row>
    <row r="270" spans="1:16" s="4" customFormat="1" x14ac:dyDescent="0.25">
      <c r="A270" s="5"/>
      <c r="B270" s="4" t="s">
        <v>11</v>
      </c>
      <c r="C270" s="50">
        <f>[1]Strandir!$F$14</f>
        <v>0.12574850299401197</v>
      </c>
      <c r="D270" s="50">
        <f>[1]Strandir!$F$23</f>
        <v>0.21383647798742139</v>
      </c>
      <c r="E270" s="51">
        <f>[1]Strandir!$F$32</f>
        <v>0.28965517241379313</v>
      </c>
      <c r="F270" s="50">
        <f>25/155</f>
        <v>0.16129032258064516</v>
      </c>
      <c r="G270" s="51">
        <f>52/147</f>
        <v>0.35374149659863946</v>
      </c>
      <c r="H270" s="51">
        <f>42/145</f>
        <v>0.28965517241379313</v>
      </c>
      <c r="I270" s="51">
        <f>[1]Strandir!$F$70</f>
        <v>0.4050632911392405</v>
      </c>
      <c r="J270" s="51">
        <f>[1]Strandir!$F$80</f>
        <v>0.3125</v>
      </c>
      <c r="K270" s="51">
        <f>[1]Strandir!$F$90</f>
        <v>0.29696969696969699</v>
      </c>
      <c r="N270" s="20">
        <f>O270/6</f>
        <v>159</v>
      </c>
      <c r="O270" s="1">
        <f>167+159+145+158+160+165</f>
        <v>954</v>
      </c>
    </row>
    <row r="271" spans="1:16" x14ac:dyDescent="0.25">
      <c r="B271" s="4" t="s">
        <v>193</v>
      </c>
      <c r="C271" s="50">
        <v>0.19900000000000001</v>
      </c>
      <c r="E271" s="50">
        <v>0.248</v>
      </c>
      <c r="F271" s="51">
        <v>0.312</v>
      </c>
      <c r="G271" s="51">
        <v>0.308</v>
      </c>
      <c r="H271" s="51">
        <v>0.26200000000000001</v>
      </c>
      <c r="I271" s="51">
        <v>0.48499999999999999</v>
      </c>
      <c r="J271" s="52">
        <v>0.53800000000000003</v>
      </c>
      <c r="K271" s="70">
        <v>0.53100000000000003</v>
      </c>
    </row>
    <row r="272" spans="1:16" x14ac:dyDescent="0.25">
      <c r="B272" s="13" t="s">
        <v>236</v>
      </c>
    </row>
    <row r="273" spans="1:16" x14ac:dyDescent="0.25">
      <c r="B273" s="13" t="s">
        <v>241</v>
      </c>
    </row>
    <row r="274" spans="1:16" x14ac:dyDescent="0.25">
      <c r="B274" s="13" t="s">
        <v>230</v>
      </c>
    </row>
    <row r="275" spans="1:16" x14ac:dyDescent="0.25">
      <c r="D275" s="13"/>
    </row>
    <row r="276" spans="1:16" x14ac:dyDescent="0.25">
      <c r="D276" s="13"/>
    </row>
    <row r="277" spans="1:16" ht="18.75" x14ac:dyDescent="0.3">
      <c r="B277" s="75" t="s">
        <v>165</v>
      </c>
      <c r="E277" s="3"/>
      <c r="L277" s="12"/>
      <c r="N277" s="5" t="s">
        <v>26</v>
      </c>
      <c r="O277" s="5" t="s">
        <v>189</v>
      </c>
    </row>
    <row r="278" spans="1:16" s="4" customFormat="1" ht="15.75" thickBot="1" x14ac:dyDescent="0.3">
      <c r="A278" s="5"/>
      <c r="C278" s="27">
        <v>1874</v>
      </c>
      <c r="D278" s="28">
        <v>1880</v>
      </c>
      <c r="E278" s="28">
        <v>1886</v>
      </c>
      <c r="F278" s="28">
        <v>1892</v>
      </c>
      <c r="G278" s="28">
        <v>1894</v>
      </c>
      <c r="H278" s="28">
        <v>1900</v>
      </c>
      <c r="I278" s="28">
        <v>1902</v>
      </c>
      <c r="J278" s="28">
        <v>1903</v>
      </c>
      <c r="N278" s="5" t="s">
        <v>27</v>
      </c>
      <c r="O278" s="5" t="s">
        <v>190</v>
      </c>
    </row>
    <row r="279" spans="1:16" x14ac:dyDescent="0.25">
      <c r="A279" s="1">
        <v>1</v>
      </c>
      <c r="B279" t="s">
        <v>166</v>
      </c>
      <c r="C279" s="23">
        <f>[1]Barðastr!$F$8</f>
        <v>0</v>
      </c>
      <c r="D279" s="23">
        <f>[1]Barðastr!$F$21</f>
        <v>0</v>
      </c>
      <c r="E279" s="25">
        <f>[1]Barðastr!$F$34</f>
        <v>0.15384615384615385</v>
      </c>
      <c r="F279" s="23">
        <f>[1]Barðastr!$F$47</f>
        <v>0</v>
      </c>
      <c r="G279" s="44"/>
      <c r="H279" s="44"/>
      <c r="I279" s="44"/>
      <c r="J279" s="44"/>
      <c r="N279" s="20">
        <f>O279/4</f>
        <v>12</v>
      </c>
      <c r="O279" s="1">
        <f>11+12+13+12</f>
        <v>48</v>
      </c>
    </row>
    <row r="280" spans="1:16" x14ac:dyDescent="0.25">
      <c r="A280" s="1">
        <v>2</v>
      </c>
      <c r="B280" t="s">
        <v>167</v>
      </c>
      <c r="C280" s="33">
        <f>[1]Barðastr!$F$9</f>
        <v>0.32258064516129031</v>
      </c>
      <c r="D280" s="23">
        <f>[1]Barðastr!$F$22</f>
        <v>0</v>
      </c>
      <c r="E280" s="33">
        <f>[1]Barðastr!$F$35</f>
        <v>0.3783783783783784</v>
      </c>
      <c r="F280" s="23">
        <f>[1]Barðastr!$F$48</f>
        <v>0</v>
      </c>
      <c r="G280" s="44"/>
      <c r="H280" s="44"/>
      <c r="I280" s="44"/>
      <c r="J280" s="44"/>
      <c r="N280" s="20">
        <f>O280/4</f>
        <v>31.25</v>
      </c>
      <c r="O280" s="1">
        <f>31+37+37+20</f>
        <v>125</v>
      </c>
      <c r="P280" s="11" t="s">
        <v>246</v>
      </c>
    </row>
    <row r="281" spans="1:16" x14ac:dyDescent="0.25">
      <c r="A281" s="1">
        <v>3</v>
      </c>
      <c r="B281" t="s">
        <v>168</v>
      </c>
      <c r="C281" s="23">
        <f>[1]Barðastr!$F$10</f>
        <v>0.08</v>
      </c>
      <c r="D281" s="23">
        <f>[1]Barðastr!$F$23</f>
        <v>3.8461538461538464E-2</v>
      </c>
      <c r="E281" s="23">
        <f>[1]Barðastr!$F$36</f>
        <v>0</v>
      </c>
      <c r="F281" s="23">
        <f>[1]Barðastr!$F$49</f>
        <v>0.05</v>
      </c>
      <c r="G281" s="44"/>
      <c r="H281" s="44"/>
      <c r="I281" s="44"/>
      <c r="J281" s="44"/>
      <c r="N281" s="20">
        <f>O281/4</f>
        <v>22.5</v>
      </c>
      <c r="O281" s="1">
        <f>25+26+19+20</f>
        <v>90</v>
      </c>
      <c r="P281" s="10" t="s">
        <v>247</v>
      </c>
    </row>
    <row r="282" spans="1:16" x14ac:dyDescent="0.25">
      <c r="A282" s="1">
        <v>4</v>
      </c>
      <c r="B282" t="s">
        <v>169</v>
      </c>
      <c r="C282" s="25">
        <f>[1]Barðastr!$F$11</f>
        <v>0.14285714285714285</v>
      </c>
      <c r="D282" s="25">
        <f>[1]Barðastr!$F$24</f>
        <v>0.125</v>
      </c>
      <c r="E282" s="25">
        <f>[1]Barðastr!$F$37</f>
        <v>0.14285714285714285</v>
      </c>
      <c r="F282" s="25">
        <f>[1]Barðastr!$F$50</f>
        <v>0.14285714285714285</v>
      </c>
      <c r="G282" s="44"/>
      <c r="H282" s="44"/>
      <c r="I282" s="44"/>
      <c r="J282" s="44"/>
      <c r="N282" s="20">
        <f t="shared" ref="N282:N286" si="10">O282/4</f>
        <v>12.75</v>
      </c>
      <c r="O282" s="1">
        <f>7+16+14+14</f>
        <v>51</v>
      </c>
      <c r="P282" s="2" t="s">
        <v>248</v>
      </c>
    </row>
    <row r="283" spans="1:16" x14ac:dyDescent="0.25">
      <c r="A283" s="1">
        <v>5</v>
      </c>
      <c r="B283" t="s">
        <v>144</v>
      </c>
      <c r="C283" s="25">
        <f>[1]Barðastr!$F$12</f>
        <v>0.15384615384615385</v>
      </c>
      <c r="D283" s="33">
        <f>[1]Barðastr!$F$25</f>
        <v>0.41935483870967744</v>
      </c>
      <c r="E283" s="33">
        <f>[1]Barðastr!$F$38</f>
        <v>0.26923076923076922</v>
      </c>
      <c r="F283" s="33">
        <f>[1]Barðastr!$F$51</f>
        <v>0.46666666666666667</v>
      </c>
      <c r="G283" s="44"/>
      <c r="H283" s="44"/>
      <c r="I283" s="44"/>
      <c r="J283" s="44"/>
      <c r="N283" s="20">
        <f t="shared" si="10"/>
        <v>28.25</v>
      </c>
      <c r="O283" s="1">
        <f>26+31+26+30</f>
        <v>113</v>
      </c>
      <c r="P283" s="9" t="s">
        <v>249</v>
      </c>
    </row>
    <row r="284" spans="1:16" x14ac:dyDescent="0.25">
      <c r="A284" s="1">
        <v>6</v>
      </c>
      <c r="B284" s="4" t="s">
        <v>170</v>
      </c>
      <c r="C284" s="25">
        <f>[1]Barðastr!$F$13</f>
        <v>0.10714285714285714</v>
      </c>
      <c r="D284" s="33">
        <f>[1]Barðastr!$F$26</f>
        <v>0.41666666666666669</v>
      </c>
      <c r="E284" s="33">
        <f>[1]Barðastr!$F$39</f>
        <v>0.30232558139534882</v>
      </c>
      <c r="F284" s="25">
        <f>[1]Barðastr!$F$52</f>
        <v>0.2</v>
      </c>
      <c r="G284" s="44"/>
      <c r="H284" s="44"/>
      <c r="I284" s="44"/>
      <c r="J284" s="44"/>
      <c r="N284" s="20">
        <f t="shared" si="10"/>
        <v>32.5</v>
      </c>
      <c r="O284" s="1">
        <f>28+24+43+35</f>
        <v>130</v>
      </c>
      <c r="P284" s="8" t="s">
        <v>250</v>
      </c>
    </row>
    <row r="285" spans="1:16" x14ac:dyDescent="0.25">
      <c r="A285" s="1">
        <v>7</v>
      </c>
      <c r="B285" t="s">
        <v>171</v>
      </c>
      <c r="C285" s="23">
        <f>[1]Barðastr!$F$14</f>
        <v>0</v>
      </c>
      <c r="D285" s="23">
        <f>[1]Barðastr!$F$27</f>
        <v>0</v>
      </c>
      <c r="E285" s="23">
        <f>[1]Barðastr!$F$40</f>
        <v>6.8965517241379309E-2</v>
      </c>
      <c r="F285" s="23">
        <f>[1]Barðastr!$F$53</f>
        <v>0.04</v>
      </c>
      <c r="G285" s="44"/>
      <c r="H285" s="44"/>
      <c r="I285" s="44"/>
      <c r="J285" s="44"/>
      <c r="N285" s="20">
        <f t="shared" si="10"/>
        <v>46.25</v>
      </c>
      <c r="O285" s="1">
        <f>32+45+58+50</f>
        <v>185</v>
      </c>
      <c r="P285" s="7" t="s">
        <v>29</v>
      </c>
    </row>
    <row r="286" spans="1:16" x14ac:dyDescent="0.25">
      <c r="A286" s="1">
        <v>8</v>
      </c>
      <c r="B286" t="s">
        <v>172</v>
      </c>
      <c r="C286" s="23">
        <f>[1]Barðastr!$F$15</f>
        <v>0</v>
      </c>
      <c r="D286" s="23">
        <f>[1]Barðastr!$F$28</f>
        <v>0</v>
      </c>
      <c r="E286" s="23">
        <f>[1]Barðastr!$F$41</f>
        <v>0</v>
      </c>
      <c r="F286" s="23">
        <f>[1]Barðastr!$F$54</f>
        <v>0</v>
      </c>
      <c r="G286" s="44"/>
      <c r="H286" s="44"/>
      <c r="I286" s="44"/>
      <c r="J286" s="44"/>
      <c r="N286" s="20">
        <f t="shared" si="10"/>
        <v>20.75</v>
      </c>
      <c r="O286" s="1">
        <f>21+24+19+19</f>
        <v>83</v>
      </c>
    </row>
    <row r="287" spans="1:16" x14ac:dyDescent="0.25">
      <c r="A287" s="1">
        <v>9</v>
      </c>
      <c r="B287" t="s">
        <v>173</v>
      </c>
      <c r="C287" s="23">
        <f>[1]Barðastr!$F$16</f>
        <v>0</v>
      </c>
      <c r="D287" s="25">
        <f>[1]Barðastr!$F$29</f>
        <v>0.23529411764705882</v>
      </c>
      <c r="E287" s="23">
        <f>[1]Barðastr!$F$42</f>
        <v>0</v>
      </c>
      <c r="F287" s="23">
        <f>[1]Barðastr!$F$55</f>
        <v>4.3478260869565216E-2</v>
      </c>
      <c r="G287" s="44"/>
      <c r="H287" s="44"/>
      <c r="I287" s="44"/>
      <c r="J287" s="44"/>
      <c r="N287" s="20">
        <f t="shared" ref="N287:N288" si="11">O287/4</f>
        <v>20.25</v>
      </c>
      <c r="O287" s="1">
        <f>18+17+23+23</f>
        <v>81</v>
      </c>
    </row>
    <row r="288" spans="1:16" ht="15.75" thickBot="1" x14ac:dyDescent="0.3">
      <c r="A288" s="1">
        <v>10</v>
      </c>
      <c r="B288" s="61" t="s">
        <v>174</v>
      </c>
      <c r="C288" s="41">
        <f>[1]Barðastr!$F$17</f>
        <v>0</v>
      </c>
      <c r="D288" s="40">
        <f>[1]Barðastr!$F$30</f>
        <v>0.125</v>
      </c>
      <c r="E288" s="41">
        <f>[1]Barðastr!$F$43</f>
        <v>0.05</v>
      </c>
      <c r="F288" s="41">
        <f>[1]Barðastr!$F$56</f>
        <v>5.8823529411764705E-2</v>
      </c>
      <c r="G288" s="46"/>
      <c r="H288" s="46"/>
      <c r="I288" s="46"/>
      <c r="J288" s="46"/>
      <c r="N288" s="20">
        <f t="shared" si="11"/>
        <v>16.25</v>
      </c>
      <c r="O288" s="1">
        <f>12+16+20+17</f>
        <v>65</v>
      </c>
    </row>
    <row r="290" spans="1:16" s="4" customFormat="1" x14ac:dyDescent="0.25">
      <c r="A290" s="5"/>
      <c r="B290" s="4" t="s">
        <v>11</v>
      </c>
      <c r="C290" s="49">
        <f>[1]Barðastr!$F$18</f>
        <v>9.4786729857819899E-2</v>
      </c>
      <c r="D290" s="50">
        <f>[1]Barðastr!$F$31</f>
        <v>0.12903225806451613</v>
      </c>
      <c r="E290" s="50">
        <f>[1]Barðastr!$F$44</f>
        <v>0.15808823529411764</v>
      </c>
      <c r="F290" s="50">
        <f>[1]Barðastr!$F$57</f>
        <v>0.11666666666666667</v>
      </c>
      <c r="G290" s="49">
        <f>22/237</f>
        <v>9.2827004219409287E-2</v>
      </c>
      <c r="H290" s="50">
        <f>59/280</f>
        <v>0.21071428571428572</v>
      </c>
      <c r="I290" s="50">
        <f>50/271</f>
        <v>0.18450184501845018</v>
      </c>
      <c r="J290" s="50">
        <f>36/299</f>
        <v>0.12040133779264214</v>
      </c>
      <c r="N290" s="20">
        <f>O290/4</f>
        <v>242.75</v>
      </c>
      <c r="O290" s="1">
        <f>SUM(O279:O289)</f>
        <v>971</v>
      </c>
    </row>
    <row r="291" spans="1:16" x14ac:dyDescent="0.25">
      <c r="B291" s="4" t="s">
        <v>193</v>
      </c>
      <c r="C291" s="50">
        <v>0.19900000000000001</v>
      </c>
      <c r="D291" s="50">
        <v>0.248</v>
      </c>
      <c r="E291" s="51">
        <v>0.312</v>
      </c>
      <c r="F291" s="51">
        <v>0.308</v>
      </c>
      <c r="G291" s="51">
        <v>0.26200000000000001</v>
      </c>
      <c r="H291" s="51">
        <v>0.48499999999999999</v>
      </c>
      <c r="I291" s="52">
        <v>0.53800000000000003</v>
      </c>
      <c r="J291" s="70">
        <v>0.53100000000000003</v>
      </c>
    </row>
    <row r="292" spans="1:16" x14ac:dyDescent="0.25">
      <c r="B292" s="13" t="s">
        <v>196</v>
      </c>
    </row>
    <row r="293" spans="1:16" x14ac:dyDescent="0.25">
      <c r="B293" s="13" t="s">
        <v>240</v>
      </c>
    </row>
    <row r="294" spans="1:16" x14ac:dyDescent="0.25">
      <c r="D294" s="13"/>
    </row>
    <row r="295" spans="1:16" x14ac:dyDescent="0.25">
      <c r="D295" s="13"/>
    </row>
    <row r="296" spans="1:16" ht="18.75" x14ac:dyDescent="0.3">
      <c r="B296" s="75" t="s">
        <v>134</v>
      </c>
      <c r="E296" s="3"/>
      <c r="L296" s="12"/>
      <c r="N296" s="5" t="s">
        <v>26</v>
      </c>
      <c r="O296" s="5" t="s">
        <v>189</v>
      </c>
    </row>
    <row r="297" spans="1:16" s="4" customFormat="1" ht="15.75" thickBot="1" x14ac:dyDescent="0.3">
      <c r="A297" s="5"/>
      <c r="C297" s="27">
        <v>1874</v>
      </c>
      <c r="D297" s="28">
        <v>1880</v>
      </c>
      <c r="E297" s="28">
        <v>1886</v>
      </c>
      <c r="F297" s="28">
        <v>1887</v>
      </c>
      <c r="G297" s="28">
        <v>1892</v>
      </c>
      <c r="H297" s="28">
        <v>1894</v>
      </c>
      <c r="I297" s="28">
        <v>1900</v>
      </c>
      <c r="J297" s="28">
        <v>1902</v>
      </c>
      <c r="K297" s="28">
        <v>1903</v>
      </c>
      <c r="N297" s="5" t="s">
        <v>27</v>
      </c>
      <c r="O297" s="5" t="s">
        <v>190</v>
      </c>
    </row>
    <row r="298" spans="1:16" x14ac:dyDescent="0.25">
      <c r="A298" s="1">
        <v>1</v>
      </c>
      <c r="B298" s="60" t="s">
        <v>135</v>
      </c>
      <c r="C298" s="44"/>
      <c r="D298" s="33">
        <f>'[1]Snæf&amp;Hn'!$F$19</f>
        <v>0.3</v>
      </c>
      <c r="E298" s="33">
        <f>'[1]Snæf&amp;Hn'!$F$32</f>
        <v>0.25</v>
      </c>
      <c r="F298" s="23">
        <f>'[1]Snæf&amp;Hn'!$F$45</f>
        <v>5.7142857142857141E-2</v>
      </c>
      <c r="G298" s="23">
        <f>'[1]Snæf&amp;Hn'!$F$58</f>
        <v>6.0606060606060608E-2</v>
      </c>
      <c r="H298" s="33">
        <f>'[1]Snæf&amp;Hn'!$F$71</f>
        <v>0.40625</v>
      </c>
      <c r="I298" s="24">
        <f>'[1]Snæf&amp;Hn'!$F$86</f>
        <v>0.56756756756756754</v>
      </c>
      <c r="J298" s="25">
        <f>'[1]Snæf&amp;Hn'!$F$100</f>
        <v>0.17142857142857143</v>
      </c>
      <c r="K298" s="25">
        <f>'[1]Snæf&amp;Hn'!$F$114</f>
        <v>0.20512820512820512</v>
      </c>
      <c r="N298" s="20">
        <f>O298/8</f>
        <v>34.125</v>
      </c>
      <c r="O298" s="1">
        <f>30+32+35+33+32+37+35+39</f>
        <v>273</v>
      </c>
    </row>
    <row r="299" spans="1:16" x14ac:dyDescent="0.25">
      <c r="A299" s="1">
        <v>2</v>
      </c>
      <c r="B299" s="60" t="s">
        <v>136</v>
      </c>
      <c r="C299" s="44"/>
      <c r="D299" s="24">
        <f>'[1]Snæf&amp;Hn'!$F$20</f>
        <v>0.50724637681159424</v>
      </c>
      <c r="E299" s="33">
        <f>'[1]Snæf&amp;Hn'!$F$33</f>
        <v>0.26153846153846155</v>
      </c>
      <c r="F299" s="23">
        <f>'[1]Snæf&amp;Hn'!$F$46</f>
        <v>7.2463768115942032E-2</v>
      </c>
      <c r="G299" s="23">
        <f>'[1]Snæf&amp;Hn'!$F$59</f>
        <v>9.5238095238095233E-2</v>
      </c>
      <c r="H299" s="24">
        <f>'[1]Snæf&amp;Hn'!$F$72</f>
        <v>0.65789473684210531</v>
      </c>
      <c r="I299" s="32">
        <f>'[1]Snæf&amp;Hn'!$F$87</f>
        <v>0.8</v>
      </c>
      <c r="J299" s="24">
        <f>'[1]Snæf&amp;Hn'!$F$101</f>
        <v>0.67647058823529416</v>
      </c>
      <c r="K299" s="24">
        <f>'[1]Snæf&amp;Hn'!$F$115</f>
        <v>0.73529411764705888</v>
      </c>
      <c r="N299" s="20">
        <f>O299/8</f>
        <v>50.875</v>
      </c>
      <c r="O299" s="1">
        <f>69+65+69+63+38+35+34+34</f>
        <v>407</v>
      </c>
      <c r="P299" s="11" t="s">
        <v>246</v>
      </c>
    </row>
    <row r="300" spans="1:16" x14ac:dyDescent="0.25">
      <c r="A300" s="1">
        <v>3</v>
      </c>
      <c r="B300" s="22" t="s">
        <v>137</v>
      </c>
      <c r="C300" s="44"/>
      <c r="D300" s="53"/>
      <c r="E300" s="53"/>
      <c r="F300" s="53"/>
      <c r="G300" s="53"/>
      <c r="H300" s="25">
        <f>'[1]Snæf&amp;Hn'!$F$73</f>
        <v>0.23333333333333334</v>
      </c>
      <c r="I300" s="24">
        <f>'[1]Snæf&amp;Hn'!$F$88</f>
        <v>0.625</v>
      </c>
      <c r="J300" s="33">
        <f>'[1]Snæf&amp;Hn'!$F$102</f>
        <v>0.4</v>
      </c>
      <c r="K300" s="24">
        <f>'[1]Snæf&amp;Hn'!$F$116</f>
        <v>0.5</v>
      </c>
      <c r="N300" s="20">
        <f>O300/4</f>
        <v>31.75</v>
      </c>
      <c r="O300" s="1">
        <f>30+32+35+30</f>
        <v>127</v>
      </c>
      <c r="P300" s="10" t="s">
        <v>247</v>
      </c>
    </row>
    <row r="301" spans="1:16" x14ac:dyDescent="0.25">
      <c r="A301" s="1">
        <v>4</v>
      </c>
      <c r="B301" s="60" t="s">
        <v>138</v>
      </c>
      <c r="C301" s="44"/>
      <c r="D301" s="33">
        <f>'[1]Snæf&amp;Hn'!$F$21</f>
        <v>0.36734693877551022</v>
      </c>
      <c r="E301" s="23">
        <f>'[1]Snæf&amp;Hn'!$F$34</f>
        <v>5.2631578947368418E-2</v>
      </c>
      <c r="F301" s="23">
        <f>'[1]Snæf&amp;Hn'!$F$47</f>
        <v>0</v>
      </c>
      <c r="G301" s="23">
        <f>'[1]Snæf&amp;Hn'!$F$60</f>
        <v>0</v>
      </c>
      <c r="H301" s="25">
        <f>'[1]Snæf&amp;Hn'!$F$74</f>
        <v>0.18181818181818182</v>
      </c>
      <c r="I301" s="33">
        <f>'[1]Snæf&amp;Hn'!$F$89</f>
        <v>0.4</v>
      </c>
      <c r="J301" s="23">
        <f>'[1]Snæf&amp;Hn'!$F$103</f>
        <v>4.6511627906976744E-2</v>
      </c>
      <c r="K301" s="33">
        <f>'[1]Snæf&amp;Hn'!$F$117</f>
        <v>0.39473684210526316</v>
      </c>
      <c r="N301" s="20">
        <f>O301/8</f>
        <v>41.625</v>
      </c>
      <c r="O301" s="1">
        <f>49+38+35+46+44+40+43+38</f>
        <v>333</v>
      </c>
      <c r="P301" s="2" t="s">
        <v>248</v>
      </c>
    </row>
    <row r="302" spans="1:16" x14ac:dyDescent="0.25">
      <c r="A302" s="1">
        <v>5</v>
      </c>
      <c r="B302" s="60" t="s">
        <v>139</v>
      </c>
      <c r="C302" s="44"/>
      <c r="D302" s="32">
        <f>'[1]Snæf&amp;Hn'!$F$22</f>
        <v>0.8214285714285714</v>
      </c>
      <c r="E302" s="25">
        <f>'[1]Snæf&amp;Hn'!$F$35</f>
        <v>0.1388888888888889</v>
      </c>
      <c r="F302" s="23">
        <f>'[1]Snæf&amp;Hn'!$F$48</f>
        <v>2.8571428571428571E-2</v>
      </c>
      <c r="G302" s="23">
        <f>'[1]Snæf&amp;Hn'!$F$61</f>
        <v>5.4054054054054057E-2</v>
      </c>
      <c r="H302" s="23">
        <f>'[1]Snæf&amp;Hn'!$F$75</f>
        <v>8.3333333333333329E-2</v>
      </c>
      <c r="I302" s="33">
        <f>'[1]Snæf&amp;Hn'!$F$90</f>
        <v>0.36363636363636365</v>
      </c>
      <c r="J302" s="23">
        <f>'[1]Snæf&amp;Hn'!$F$104</f>
        <v>0</v>
      </c>
      <c r="K302" s="33">
        <f>'[1]Snæf&amp;Hn'!$F$118</f>
        <v>0.31944444444444442</v>
      </c>
      <c r="N302" s="20">
        <f>O302/8</f>
        <v>45.75</v>
      </c>
      <c r="O302" s="1">
        <f>28+36+35+37+36+55+67+72</f>
        <v>366</v>
      </c>
      <c r="P302" s="9" t="s">
        <v>249</v>
      </c>
    </row>
    <row r="303" spans="1:16" x14ac:dyDescent="0.25">
      <c r="A303" s="1">
        <v>6</v>
      </c>
      <c r="B303" s="67" t="s">
        <v>140</v>
      </c>
      <c r="C303" s="44"/>
      <c r="D303" s="33">
        <f>'[1]Snæf&amp;Hn'!$F$23</f>
        <v>0.35714285714285715</v>
      </c>
      <c r="E303" s="23">
        <f>'[1]Snæf&amp;Hn'!$F$36</f>
        <v>2.9411764705882353E-2</v>
      </c>
      <c r="F303" s="23">
        <f>'[1]Snæf&amp;Hn'!$F$49</f>
        <v>6.6666666666666666E-2</v>
      </c>
      <c r="G303" s="23">
        <f>'[1]Snæf&amp;Hn'!$F$62</f>
        <v>3.7037037037037035E-2</v>
      </c>
      <c r="H303" s="23">
        <f>'[1]Snæf&amp;Hn'!$F$76</f>
        <v>4.7619047619047616E-2</v>
      </c>
      <c r="I303" s="23">
        <f>'[1]Snæf&amp;Hn'!$F$91</f>
        <v>5.128205128205128E-2</v>
      </c>
      <c r="J303" s="23">
        <f>'[1]Snæf&amp;Hn'!$F$105</f>
        <v>0</v>
      </c>
      <c r="K303" s="23">
        <f>'[1]Snæf&amp;Hn'!$F$119</f>
        <v>6.3829787234042548E-2</v>
      </c>
      <c r="N303" s="20">
        <f>O303/8</f>
        <v>33.75</v>
      </c>
      <c r="O303" s="1">
        <f>28+34+30+27+21+39+44+47</f>
        <v>270</v>
      </c>
      <c r="P303" s="8" t="s">
        <v>250</v>
      </c>
    </row>
    <row r="304" spans="1:16" x14ac:dyDescent="0.25">
      <c r="A304" s="1">
        <v>7</v>
      </c>
      <c r="B304" s="67" t="s">
        <v>141</v>
      </c>
      <c r="C304" s="44"/>
      <c r="D304" s="32">
        <f>'[1]Snæf&amp;Hn'!$F$24</f>
        <v>0.88461538461538458</v>
      </c>
      <c r="E304" s="33">
        <f>'[1]Snæf&amp;Hn'!$F$37</f>
        <v>0.39285714285714285</v>
      </c>
      <c r="F304" s="25">
        <f>'[1]Snæf&amp;Hn'!$F$50</f>
        <v>0.22222222222222221</v>
      </c>
      <c r="G304" s="33">
        <f>'[1]Snæf&amp;Hn'!$F$63</f>
        <v>0.25714285714285712</v>
      </c>
      <c r="H304" s="23">
        <f>'[1]Snæf&amp;Hn'!$F$77</f>
        <v>5.5555555555555552E-2</v>
      </c>
      <c r="I304" s="33">
        <f>'[1]Snæf&amp;Hn'!$F$92</f>
        <v>0.27777777777777779</v>
      </c>
      <c r="J304" s="23">
        <f>'[1]Snæf&amp;Hn'!$F$106</f>
        <v>0</v>
      </c>
      <c r="K304" s="25">
        <f>'[1]Snæf&amp;Hn'!$F$120</f>
        <v>0.12121212121212122</v>
      </c>
      <c r="N304" s="20">
        <f>O304/8</f>
        <v>32.125</v>
      </c>
      <c r="O304" s="1">
        <f>26+28+27+35+36+36+36+33</f>
        <v>257</v>
      </c>
      <c r="P304" s="7" t="s">
        <v>29</v>
      </c>
    </row>
    <row r="305" spans="1:16" x14ac:dyDescent="0.25">
      <c r="A305" s="1">
        <v>8</v>
      </c>
      <c r="B305" s="72" t="s">
        <v>142</v>
      </c>
      <c r="C305" s="44"/>
      <c r="D305" s="26">
        <f>'[1]Snæf&amp;Hn'!$F$25</f>
        <v>0.9375</v>
      </c>
      <c r="E305" s="24">
        <f>'[1]Snæf&amp;Hn'!$F$38</f>
        <v>0.5641025641025641</v>
      </c>
      <c r="F305" s="24">
        <f>'[1]Snæf&amp;Hn'!$F$51</f>
        <v>0.61111111111111116</v>
      </c>
      <c r="G305" s="24">
        <f>'[1]Snæf&amp;Hn'!$F$64</f>
        <v>0.5</v>
      </c>
      <c r="H305" s="33">
        <f>'[1]Snæf&amp;Hn'!$F$78</f>
        <v>0.41025641025641024</v>
      </c>
      <c r="I305" s="25">
        <f>'[1]Snæf&amp;Hn'!$F$93</f>
        <v>0.23529411764705882</v>
      </c>
      <c r="J305" s="23">
        <f>'[1]Snæf&amp;Hn'!$F$107</f>
        <v>0</v>
      </c>
      <c r="K305" s="33">
        <f>'[1]Snæf&amp;Hn'!$F$121</f>
        <v>0.42857142857142855</v>
      </c>
      <c r="N305" s="20">
        <f t="shared" ref="N305:N308" si="12">O305/8</f>
        <v>36.875</v>
      </c>
      <c r="O305" s="1">
        <f>48+39+36+38+39+34+33+28</f>
        <v>295</v>
      </c>
    </row>
    <row r="306" spans="1:16" x14ac:dyDescent="0.25">
      <c r="A306" s="1">
        <v>9</v>
      </c>
      <c r="B306" s="71" t="s">
        <v>143</v>
      </c>
      <c r="C306" s="44"/>
      <c r="D306" s="24">
        <f>'[1]Snæf&amp;Hn'!$F$26</f>
        <v>0.59090909090909094</v>
      </c>
      <c r="E306" s="33">
        <f>'[1]Snæf&amp;Hn'!$F$39</f>
        <v>0.47368421052631576</v>
      </c>
      <c r="F306" s="25">
        <f>'[1]Snæf&amp;Hn'!$F$52</f>
        <v>0.22222222222222221</v>
      </c>
      <c r="G306" s="25">
        <f>'[1]Snæf&amp;Hn'!$F$65</f>
        <v>0.2</v>
      </c>
      <c r="H306" s="24">
        <f>'[1]Snæf&amp;Hn'!$F$79</f>
        <v>0.6</v>
      </c>
      <c r="I306" s="24">
        <f>'[1]Snæf&amp;Hn'!$F$94</f>
        <v>0.61538461538461542</v>
      </c>
      <c r="J306" s="25">
        <f>'[1]Snæf&amp;Hn'!$F$108</f>
        <v>0.125</v>
      </c>
      <c r="K306" s="33">
        <f>'[1]Snæf&amp;Hn'!$F$122</f>
        <v>0.36</v>
      </c>
      <c r="N306" s="20">
        <f t="shared" si="12"/>
        <v>21.75</v>
      </c>
      <c r="O306" s="1">
        <f>22+19+18+20+20+26+24+25</f>
        <v>174</v>
      </c>
    </row>
    <row r="307" spans="1:16" x14ac:dyDescent="0.25">
      <c r="A307" s="1">
        <v>10</v>
      </c>
      <c r="B307" s="71" t="s">
        <v>144</v>
      </c>
      <c r="C307" s="44"/>
      <c r="D307" s="32">
        <f>'[1]Snæf&amp;Hn'!$F$27</f>
        <v>0.81818181818181823</v>
      </c>
      <c r="E307" s="33">
        <f>'[1]Snæf&amp;Hn'!$F$40</f>
        <v>0.41666666666666669</v>
      </c>
      <c r="F307" s="25">
        <f>'[1]Snæf&amp;Hn'!$F$53</f>
        <v>0.16666666666666666</v>
      </c>
      <c r="G307" s="23">
        <f>'[1]Snæf&amp;Hn'!$F$66</f>
        <v>6.6666666666666666E-2</v>
      </c>
      <c r="H307" s="33">
        <f>'[1]Snæf&amp;Hn'!$F$80</f>
        <v>0.33333333333333331</v>
      </c>
      <c r="I307" s="33">
        <f>'[1]Snæf&amp;Hn'!$F$95</f>
        <v>0.42857142857142855</v>
      </c>
      <c r="J307" s="23">
        <f>'[1]Snæf&amp;Hn'!$F$109</f>
        <v>7.6923076923076927E-2</v>
      </c>
      <c r="K307" s="24">
        <f>'[1]Snæf&amp;Hn'!$F$123</f>
        <v>0.66666666666666663</v>
      </c>
      <c r="N307" s="20">
        <f t="shared" si="12"/>
        <v>13</v>
      </c>
      <c r="O307" s="1">
        <f>11+12+12+15+15+14+13+12</f>
        <v>104</v>
      </c>
    </row>
    <row r="308" spans="1:16" ht="15.75" thickBot="1" x14ac:dyDescent="0.3">
      <c r="A308" s="1">
        <v>11</v>
      </c>
      <c r="B308" s="68" t="s">
        <v>145</v>
      </c>
      <c r="C308" s="46"/>
      <c r="D308" s="42">
        <f>'[1]Snæf&amp;Hn'!$F$28</f>
        <v>0.27272727272727271</v>
      </c>
      <c r="E308" s="42">
        <f>'[1]Snæf&amp;Hn'!$F$41</f>
        <v>0.27272727272727271</v>
      </c>
      <c r="F308" s="41">
        <f>'[1]Snæf&amp;Hn'!$F$54</f>
        <v>0</v>
      </c>
      <c r="G308" s="41">
        <f>'[1]Snæf&amp;Hn'!$F$67</f>
        <v>6.6666666666666666E-2</v>
      </c>
      <c r="H308" s="42">
        <f>'[1]Snæf&amp;Hn'!$F$81</f>
        <v>0.25</v>
      </c>
      <c r="I308" s="40">
        <f>'[1]Snæf&amp;Hn'!$F$96</f>
        <v>0.12903225806451613</v>
      </c>
      <c r="J308" s="41">
        <f>'[1]Snæf&amp;Hn'!$F$110</f>
        <v>8.8235294117647065E-2</v>
      </c>
      <c r="K308" s="43">
        <f>'[1]Snæf&amp;Hn'!$F$124</f>
        <v>0.54838709677419351</v>
      </c>
      <c r="N308" s="20">
        <f t="shared" si="12"/>
        <v>30</v>
      </c>
      <c r="O308" s="1">
        <f>33+22+27+30+32+31+34+31</f>
        <v>240</v>
      </c>
    </row>
    <row r="310" spans="1:16" s="4" customFormat="1" x14ac:dyDescent="0.25">
      <c r="A310" s="5"/>
      <c r="B310" s="4" t="s">
        <v>11</v>
      </c>
      <c r="C310" s="50">
        <f>70/340</f>
        <v>0.20588235294117646</v>
      </c>
      <c r="D310" s="52">
        <f>'[1]Snæf&amp;Hn'!$F$29</f>
        <v>0.56395348837209303</v>
      </c>
      <c r="E310" s="51">
        <f>'[1]Snæf&amp;Hn'!$F$42</f>
        <v>0.26461538461538464</v>
      </c>
      <c r="F310" s="50">
        <f>'[1]Snæf&amp;Hn'!$F$55</f>
        <v>0.13580246913580246</v>
      </c>
      <c r="G310" s="50">
        <f>'[1]Snæf&amp;Hn'!$F$68</f>
        <v>0.13372093023255813</v>
      </c>
      <c r="H310" s="51">
        <f>'[1]Snæf&amp;Hn'!$F$82</f>
        <v>0.29154518950437319</v>
      </c>
      <c r="I310" s="51">
        <f>'[1]Snæf&amp;Hn'!$F$97</f>
        <v>0.39841688654353563</v>
      </c>
      <c r="J310" s="50">
        <f>'[1]Snæf&amp;Hn'!$F$111</f>
        <v>0.1306532663316583</v>
      </c>
      <c r="K310" s="51">
        <f>'[1]Snæf&amp;Hn'!$F$125</f>
        <v>0.35732647814910024</v>
      </c>
      <c r="N310" s="20">
        <f>O310/8</f>
        <v>355.75</v>
      </c>
      <c r="O310" s="1">
        <f>344+325+324+344+343+379+398+389</f>
        <v>2846</v>
      </c>
    </row>
    <row r="311" spans="1:16" x14ac:dyDescent="0.25">
      <c r="B311" s="4" t="s">
        <v>193</v>
      </c>
      <c r="C311" s="50">
        <v>0.19900000000000001</v>
      </c>
      <c r="D311" s="50">
        <v>0.248</v>
      </c>
      <c r="E311" s="51">
        <v>0.312</v>
      </c>
      <c r="G311" s="51">
        <v>0.308</v>
      </c>
      <c r="H311" s="51">
        <v>0.26200000000000001</v>
      </c>
      <c r="I311" s="51">
        <v>0.48499999999999999</v>
      </c>
      <c r="J311" s="52">
        <v>0.53800000000000003</v>
      </c>
      <c r="K311" s="70">
        <v>0.53100000000000003</v>
      </c>
    </row>
    <row r="312" spans="1:16" x14ac:dyDescent="0.25">
      <c r="B312" s="13" t="s">
        <v>146</v>
      </c>
    </row>
    <row r="313" spans="1:16" x14ac:dyDescent="0.25">
      <c r="B313" s="13" t="s">
        <v>191</v>
      </c>
    </row>
    <row r="314" spans="1:16" x14ac:dyDescent="0.25">
      <c r="B314" s="13" t="s">
        <v>237</v>
      </c>
    </row>
    <row r="315" spans="1:16" x14ac:dyDescent="0.25">
      <c r="B315" s="1"/>
    </row>
    <row r="317" spans="1:16" ht="18.75" x14ac:dyDescent="0.3">
      <c r="B317" s="75" t="s">
        <v>147</v>
      </c>
      <c r="E317" s="3"/>
      <c r="L317" s="12"/>
      <c r="N317" s="5" t="s">
        <v>26</v>
      </c>
      <c r="O317" s="5" t="s">
        <v>189</v>
      </c>
    </row>
    <row r="318" spans="1:16" s="4" customFormat="1" ht="15.75" thickBot="1" x14ac:dyDescent="0.3">
      <c r="A318" s="5"/>
      <c r="C318" s="27">
        <v>1874</v>
      </c>
      <c r="D318" s="28">
        <v>1880</v>
      </c>
      <c r="E318" s="28">
        <v>1886</v>
      </c>
      <c r="F318" s="28">
        <v>1892</v>
      </c>
      <c r="G318" s="28">
        <v>1894</v>
      </c>
      <c r="H318" s="28">
        <v>1900</v>
      </c>
      <c r="I318" s="28">
        <v>1902</v>
      </c>
      <c r="J318" s="28">
        <v>1903</v>
      </c>
      <c r="N318" s="5" t="s">
        <v>27</v>
      </c>
      <c r="O318" s="5" t="s">
        <v>190</v>
      </c>
    </row>
    <row r="319" spans="1:16" x14ac:dyDescent="0.25">
      <c r="A319" s="1">
        <v>1</v>
      </c>
      <c r="B319" s="60" t="s">
        <v>148</v>
      </c>
      <c r="C319" s="44"/>
      <c r="D319" s="25">
        <f>[1]Mýrar!$F$17</f>
        <v>0.1111111111111111</v>
      </c>
      <c r="E319" s="33">
        <f>[1]Mýrar!$F$27</f>
        <v>0.41176470588235292</v>
      </c>
      <c r="F319" s="23">
        <f>[1]Mýrar!$F$37</f>
        <v>0</v>
      </c>
      <c r="G319" s="33">
        <f>[1]Mýrar!$F$47</f>
        <v>0.35294117647058826</v>
      </c>
      <c r="H319" s="32">
        <f>[1]Mýrar!$F$57</f>
        <v>0.88235294117647056</v>
      </c>
      <c r="I319" s="24">
        <f>[1]Mýrar!$F$67</f>
        <v>0.52941176470588236</v>
      </c>
      <c r="J319" s="24">
        <f>[1]Mýrar!$F$77</f>
        <v>0.72222222222222221</v>
      </c>
      <c r="N319" s="20">
        <f>O319/7</f>
        <v>17.571428571428573</v>
      </c>
      <c r="O319" s="1">
        <f>18+17+19+17+17+17+18</f>
        <v>123</v>
      </c>
      <c r="P319" s="11" t="s">
        <v>246</v>
      </c>
    </row>
    <row r="320" spans="1:16" x14ac:dyDescent="0.25">
      <c r="A320" s="1">
        <v>2</v>
      </c>
      <c r="B320" s="60" t="s">
        <v>149</v>
      </c>
      <c r="C320" s="44"/>
      <c r="D320" s="24">
        <f>[1]Mýrar!$F$18</f>
        <v>0.5</v>
      </c>
      <c r="E320" s="25">
        <f>[1]Mýrar!$F$28</f>
        <v>0.2</v>
      </c>
      <c r="F320" s="25">
        <f>[1]Mýrar!$F$38</f>
        <v>0.22222222222222221</v>
      </c>
      <c r="G320" s="24">
        <f>[1]Mýrar!$F$48</f>
        <v>0.5</v>
      </c>
      <c r="H320" s="24">
        <f>[1]Mýrar!$F$58</f>
        <v>0.66666666666666663</v>
      </c>
      <c r="I320" s="24">
        <f>[1]Mýrar!$F$68</f>
        <v>0.72222222222222221</v>
      </c>
      <c r="J320" s="24">
        <f>[1]Mýrar!$F$78</f>
        <v>0.55000000000000004</v>
      </c>
      <c r="N320" s="20">
        <f>O320/7</f>
        <v>17.571428571428573</v>
      </c>
      <c r="O320" s="1">
        <f>16+15+18+18+18+18+20</f>
        <v>123</v>
      </c>
      <c r="P320" s="10" t="s">
        <v>247</v>
      </c>
    </row>
    <row r="321" spans="1:16" x14ac:dyDescent="0.25">
      <c r="A321" s="1">
        <v>3</v>
      </c>
      <c r="B321" s="60" t="s">
        <v>150</v>
      </c>
      <c r="C321" s="44"/>
      <c r="D321" s="25">
        <f>[1]Mýrar!$F$19</f>
        <v>0.10526315789473684</v>
      </c>
      <c r="E321" s="23">
        <f>[1]Mýrar!$F$29</f>
        <v>4.3478260869565216E-2</v>
      </c>
      <c r="F321" s="33">
        <f>[1]Mýrar!$F$39</f>
        <v>0.2608695652173913</v>
      </c>
      <c r="G321" s="33">
        <f>[1]Mýrar!$F$49</f>
        <v>0.36363636363636365</v>
      </c>
      <c r="H321" s="24">
        <f>[1]Mýrar!$F$59</f>
        <v>0.54545454545454541</v>
      </c>
      <c r="I321" s="24">
        <f>[1]Mýrar!$F$69</f>
        <v>0.59090909090909094</v>
      </c>
      <c r="J321" s="32">
        <f>[1]Mýrar!$F$79</f>
        <v>0.78260869565217395</v>
      </c>
      <c r="N321" s="20">
        <f>O321/7</f>
        <v>22</v>
      </c>
      <c r="O321" s="1">
        <f>19+23+23+22+22+22+23</f>
        <v>154</v>
      </c>
      <c r="P321" s="2" t="s">
        <v>248</v>
      </c>
    </row>
    <row r="322" spans="1:16" x14ac:dyDescent="0.25">
      <c r="A322" s="1">
        <v>4</v>
      </c>
      <c r="B322" s="60" t="s">
        <v>151</v>
      </c>
      <c r="C322" s="44"/>
      <c r="D322" s="25">
        <f>[1]Mýrar!$F$20</f>
        <v>0.2</v>
      </c>
      <c r="E322" s="23">
        <f>[1]Mýrar!$F$30</f>
        <v>8.8235294117647065E-2</v>
      </c>
      <c r="F322" s="33">
        <f>[1]Mýrar!$F$40</f>
        <v>0.46875</v>
      </c>
      <c r="G322" s="24">
        <f>[1]Mýrar!$F$50</f>
        <v>0.5714285714285714</v>
      </c>
      <c r="H322" s="24">
        <f>[1]Mýrar!$F$60</f>
        <v>0.67741935483870963</v>
      </c>
      <c r="I322" s="32">
        <f>[1]Mýrar!$F$70</f>
        <v>0.86206896551724133</v>
      </c>
      <c r="J322" s="24">
        <f>[1]Mýrar!$F$80</f>
        <v>0.62962962962962965</v>
      </c>
      <c r="N322" s="20">
        <f t="shared" ref="N322:N325" si="13">O322/7</f>
        <v>31.857142857142858</v>
      </c>
      <c r="O322" s="1">
        <f>35+34+32+35+31+29+27</f>
        <v>223</v>
      </c>
      <c r="P322" s="9" t="s">
        <v>249</v>
      </c>
    </row>
    <row r="323" spans="1:16" x14ac:dyDescent="0.25">
      <c r="A323" s="1">
        <v>5</v>
      </c>
      <c r="B323" s="22" t="s">
        <v>152</v>
      </c>
      <c r="C323" s="44"/>
      <c r="D323" s="24">
        <f>[1]Mýrar!$F$21</f>
        <v>0.55769230769230771</v>
      </c>
      <c r="E323" s="24">
        <f>[1]Mýrar!$F$31</f>
        <v>0.65116279069767447</v>
      </c>
      <c r="F323" s="24">
        <f>[1]Mýrar!$F$41</f>
        <v>0.63414634146341464</v>
      </c>
      <c r="G323" s="24">
        <f>[1]Mýrar!$F$51</f>
        <v>0.69230769230769229</v>
      </c>
      <c r="H323" s="24">
        <f>[1]Mýrar!$F$61</f>
        <v>0.66666666666666663</v>
      </c>
      <c r="I323" s="24">
        <f>[1]Mýrar!$F$71</f>
        <v>0.58823529411764708</v>
      </c>
      <c r="J323" s="33">
        <f>[1]Mýrar!$F$81</f>
        <v>0.35294117647058826</v>
      </c>
      <c r="N323" s="20">
        <f t="shared" si="13"/>
        <v>41.857142857142854</v>
      </c>
      <c r="O323" s="1">
        <f>52+43+41+39+33+34+51</f>
        <v>293</v>
      </c>
      <c r="P323" s="8" t="s">
        <v>250</v>
      </c>
    </row>
    <row r="324" spans="1:16" x14ac:dyDescent="0.25">
      <c r="A324" s="1">
        <v>6</v>
      </c>
      <c r="B324" s="67" t="s">
        <v>59</v>
      </c>
      <c r="C324" s="44"/>
      <c r="D324" s="23">
        <f>[1]Mýrar!$F$22</f>
        <v>8.8235294117647065E-2</v>
      </c>
      <c r="E324" s="33">
        <f>[1]Mýrar!$F$32</f>
        <v>0.40540540540540543</v>
      </c>
      <c r="F324" s="33">
        <f>[1]Mýrar!$F$42</f>
        <v>0.27272727272727271</v>
      </c>
      <c r="G324" s="23">
        <f>[1]Mýrar!$F$52</f>
        <v>6.0606060606060608E-2</v>
      </c>
      <c r="H324" s="24">
        <f>[1]Mýrar!$F$62</f>
        <v>0.7142857142857143</v>
      </c>
      <c r="I324" s="24">
        <f>[1]Mýrar!$F$72</f>
        <v>0.6333333333333333</v>
      </c>
      <c r="J324" s="24">
        <f>[1]Mýrar!$F$82</f>
        <v>0.67647058823529416</v>
      </c>
      <c r="N324" s="20">
        <f t="shared" si="13"/>
        <v>32.714285714285715</v>
      </c>
      <c r="O324" s="1">
        <f>34+37+33+33+28+30+34</f>
        <v>229</v>
      </c>
      <c r="P324" s="7" t="s">
        <v>29</v>
      </c>
    </row>
    <row r="325" spans="1:16" ht="15.75" thickBot="1" x14ac:dyDescent="0.3">
      <c r="A325" s="1">
        <v>7</v>
      </c>
      <c r="B325" s="68" t="s">
        <v>153</v>
      </c>
      <c r="C325" s="46"/>
      <c r="D325" s="40">
        <f>[1]Mýrar!$F$23</f>
        <v>0.12195121951219512</v>
      </c>
      <c r="E325" s="40">
        <f>[1]Mýrar!$F$33</f>
        <v>0.10256410256410256</v>
      </c>
      <c r="F325" s="40">
        <f>[1]Mýrar!$F$43</f>
        <v>0.15384615384615385</v>
      </c>
      <c r="G325" s="41">
        <f>[1]Mýrar!$F$53</f>
        <v>0</v>
      </c>
      <c r="H325" s="43">
        <f>[1]Mýrar!$F$63</f>
        <v>0.5</v>
      </c>
      <c r="I325" s="42">
        <f>[1]Mýrar!$F$73</f>
        <v>0.41176470588235292</v>
      </c>
      <c r="J325" s="42">
        <f>[1]Mýrar!$F$83</f>
        <v>0.27272727272727271</v>
      </c>
      <c r="N325" s="20">
        <f t="shared" si="13"/>
        <v>36.142857142857146</v>
      </c>
      <c r="O325" s="1">
        <f>41+39+39+35+32+34+33</f>
        <v>253</v>
      </c>
    </row>
    <row r="327" spans="1:16" s="4" customFormat="1" x14ac:dyDescent="0.25">
      <c r="A327" s="5"/>
      <c r="B327" s="4" t="s">
        <v>11</v>
      </c>
      <c r="C327" s="51">
        <f>79/231</f>
        <v>0.34199134199134201</v>
      </c>
      <c r="D327" s="51">
        <f>[1]Mýrar!$F$24</f>
        <v>0.26046511627906976</v>
      </c>
      <c r="E327" s="51">
        <f>[1]Mýrar!$F$34</f>
        <v>0.29326923076923078</v>
      </c>
      <c r="F327" s="51">
        <f>[1]Mýrar!$F$44</f>
        <v>0.32195121951219513</v>
      </c>
      <c r="G327" s="51">
        <f>[1]Mýrar!$F$54</f>
        <v>0.36180904522613067</v>
      </c>
      <c r="H327" s="52">
        <f>[1]Mýrar!$F$64</f>
        <v>0.65193370165745856</v>
      </c>
      <c r="I327" s="52">
        <f>[1]Mýrar!$F$74</f>
        <v>0.61413043478260865</v>
      </c>
      <c r="J327" s="52">
        <f>[1]Mýrar!$F$84</f>
        <v>0.529126213592233</v>
      </c>
      <c r="K327" s="76"/>
      <c r="N327" s="20">
        <f>O327/7</f>
        <v>199.71428571428572</v>
      </c>
      <c r="O327" s="1">
        <f>215+208+205+199+181+184+206</f>
        <v>1398</v>
      </c>
    </row>
    <row r="328" spans="1:16" x14ac:dyDescent="0.25">
      <c r="B328" s="4" t="s">
        <v>193</v>
      </c>
      <c r="C328" s="50">
        <v>0.19900000000000001</v>
      </c>
      <c r="D328" s="50">
        <v>0.248</v>
      </c>
      <c r="E328" s="51">
        <v>0.312</v>
      </c>
      <c r="F328" s="51">
        <v>0.308</v>
      </c>
      <c r="G328" s="51">
        <v>0.26200000000000001</v>
      </c>
      <c r="H328" s="51">
        <v>0.48499999999999999</v>
      </c>
      <c r="I328" s="52">
        <v>0.53800000000000003</v>
      </c>
      <c r="J328" s="70">
        <v>0.53100000000000003</v>
      </c>
    </row>
    <row r="329" spans="1:16" x14ac:dyDescent="0.25">
      <c r="B329" s="13" t="s">
        <v>197</v>
      </c>
      <c r="G329" s="13"/>
    </row>
    <row r="330" spans="1:16" x14ac:dyDescent="0.25">
      <c r="B330" s="13" t="s">
        <v>191</v>
      </c>
    </row>
    <row r="331" spans="1:16" x14ac:dyDescent="0.25">
      <c r="B331" s="13"/>
    </row>
    <row r="333" spans="1:16" ht="18.75" x14ac:dyDescent="0.3">
      <c r="B333" s="75" t="s">
        <v>154</v>
      </c>
      <c r="E333" s="3"/>
      <c r="L333" s="12"/>
      <c r="N333" s="5" t="s">
        <v>26</v>
      </c>
      <c r="O333" s="5" t="s">
        <v>189</v>
      </c>
    </row>
    <row r="334" spans="1:16" s="4" customFormat="1" ht="15.75" thickBot="1" x14ac:dyDescent="0.3">
      <c r="A334" s="5"/>
      <c r="C334" s="27">
        <v>1874</v>
      </c>
      <c r="D334" s="28">
        <v>1880</v>
      </c>
      <c r="E334" s="28">
        <v>1886</v>
      </c>
      <c r="F334" s="28">
        <v>1892</v>
      </c>
      <c r="G334" s="28">
        <v>1894</v>
      </c>
      <c r="H334" s="28">
        <v>1900</v>
      </c>
      <c r="I334" s="28">
        <v>1902</v>
      </c>
      <c r="J334" s="28">
        <v>1903</v>
      </c>
      <c r="N334" s="5" t="s">
        <v>27</v>
      </c>
      <c r="O334" s="5" t="s">
        <v>190</v>
      </c>
    </row>
    <row r="335" spans="1:16" x14ac:dyDescent="0.25">
      <c r="A335" s="1">
        <v>1</v>
      </c>
      <c r="B335" s="60" t="s">
        <v>155</v>
      </c>
      <c r="C335" s="44"/>
      <c r="D335" s="23">
        <f>[1]Borg!$F$17</f>
        <v>6.6666666666666666E-2</v>
      </c>
      <c r="E335" s="44"/>
      <c r="F335" s="33">
        <f>[1]Borg!$F$41</f>
        <v>0.35294117647058826</v>
      </c>
      <c r="G335" s="32">
        <f>[1]Borg!$F$54</f>
        <v>0.88235294117647056</v>
      </c>
      <c r="H335" s="32">
        <f>[1]Borg!$F$67</f>
        <v>0.88888888888888884</v>
      </c>
      <c r="I335" s="26">
        <f>[1]Borg!$F$80</f>
        <v>0.94736842105263153</v>
      </c>
      <c r="J335" s="32">
        <f>[1]Borg!$F$93</f>
        <v>0.76190476190476186</v>
      </c>
      <c r="N335" s="20">
        <f>O335/6</f>
        <v>17.833333333333332</v>
      </c>
      <c r="O335" s="1">
        <f>15+17+17+18+19+21</f>
        <v>107</v>
      </c>
    </row>
    <row r="336" spans="1:16" x14ac:dyDescent="0.25">
      <c r="A336" s="1">
        <v>2</v>
      </c>
      <c r="B336" s="60" t="s">
        <v>156</v>
      </c>
      <c r="C336" s="44"/>
      <c r="D336" s="25">
        <f>[1]Borg!$F$18</f>
        <v>0.11538461538461539</v>
      </c>
      <c r="E336" s="44"/>
      <c r="F336" s="25">
        <f>[1]Borg!$F$42</f>
        <v>0.17857142857142858</v>
      </c>
      <c r="G336" s="32">
        <f>[1]Borg!$F$55</f>
        <v>0.7857142857142857</v>
      </c>
      <c r="H336" s="24">
        <f>[1]Borg!$F$68</f>
        <v>0.6071428571428571</v>
      </c>
      <c r="I336" s="32">
        <f>[1]Borg!$F$81</f>
        <v>0.85185185185185186</v>
      </c>
      <c r="J336" s="24">
        <f>[1]Borg!$F$94</f>
        <v>0.59259259259259256</v>
      </c>
      <c r="N336" s="20">
        <f>O336/6</f>
        <v>27.333333333333332</v>
      </c>
      <c r="O336" s="1">
        <f>26+28+28+28+27+27</f>
        <v>164</v>
      </c>
    </row>
    <row r="337" spans="1:16" x14ac:dyDescent="0.25">
      <c r="A337" s="1">
        <v>3</v>
      </c>
      <c r="B337" s="60" t="s">
        <v>157</v>
      </c>
      <c r="C337" s="44"/>
      <c r="D337" s="25">
        <f>[1]Borg!$F$19</f>
        <v>0.21052631578947367</v>
      </c>
      <c r="E337" s="44"/>
      <c r="F337" s="33">
        <f>[1]Borg!$F$43</f>
        <v>0.31818181818181818</v>
      </c>
      <c r="G337" s="24">
        <f>[1]Borg!$F$56</f>
        <v>0.52173913043478259</v>
      </c>
      <c r="H337" s="24">
        <f>[1]Borg!$F$69</f>
        <v>0.7142857142857143</v>
      </c>
      <c r="I337" s="24">
        <f>[1]Borg!$F$82</f>
        <v>0.52631578947368418</v>
      </c>
      <c r="J337" s="24">
        <f>[1]Borg!$F$95</f>
        <v>0.52631578947368418</v>
      </c>
      <c r="N337" s="20">
        <f>O337/6</f>
        <v>20.5</v>
      </c>
      <c r="O337" s="1">
        <f>19+22+23+21+19+19</f>
        <v>123</v>
      </c>
      <c r="P337" s="11" t="s">
        <v>246</v>
      </c>
    </row>
    <row r="338" spans="1:16" x14ac:dyDescent="0.25">
      <c r="A338" s="1">
        <v>4</v>
      </c>
      <c r="B338" s="60" t="s">
        <v>158</v>
      </c>
      <c r="C338" s="44"/>
      <c r="D338" s="33">
        <f>[1]Borg!$F$20</f>
        <v>0.4</v>
      </c>
      <c r="E338" s="44"/>
      <c r="F338" s="32">
        <f>[1]Borg!$F$44</f>
        <v>0.76923076923076927</v>
      </c>
      <c r="G338" s="24">
        <f>[1]Borg!$F$57</f>
        <v>0.62962962962962965</v>
      </c>
      <c r="H338" s="24">
        <f>[1]Borg!$F$70</f>
        <v>0.73076923076923073</v>
      </c>
      <c r="I338" s="24">
        <f>[1]Borg!$F$83</f>
        <v>0.62962962962962965</v>
      </c>
      <c r="J338" s="24">
        <f>[1]Borg!$F$96</f>
        <v>0.55555555555555558</v>
      </c>
      <c r="N338" s="20">
        <f t="shared" ref="N338:N342" si="14">O338/6</f>
        <v>26.333333333333332</v>
      </c>
      <c r="O338" s="1">
        <f>25+26+27+26+27+27</f>
        <v>158</v>
      </c>
      <c r="P338" s="10" t="s">
        <v>247</v>
      </c>
    </row>
    <row r="339" spans="1:16" x14ac:dyDescent="0.25">
      <c r="A339" s="1">
        <v>5</v>
      </c>
      <c r="B339" s="22" t="s">
        <v>192</v>
      </c>
      <c r="C339" s="44"/>
      <c r="D339" s="23">
        <f>[1]Borg!$F$21</f>
        <v>0</v>
      </c>
      <c r="E339" s="44"/>
      <c r="F339" s="24">
        <f>[1]Borg!$F$45</f>
        <v>0.63636363636363635</v>
      </c>
      <c r="G339" s="24">
        <f>[1]Borg!$F$58</f>
        <v>0.5</v>
      </c>
      <c r="H339" s="32">
        <f>[1]Borg!$F$71</f>
        <v>0.80952380952380953</v>
      </c>
      <c r="I339" s="24">
        <f>[1]Borg!$F$84</f>
        <v>0.5714285714285714</v>
      </c>
      <c r="J339" s="33">
        <f>[1]Borg!$F$97</f>
        <v>0.45454545454545453</v>
      </c>
      <c r="N339" s="20">
        <f t="shared" si="14"/>
        <v>20.666666666666668</v>
      </c>
      <c r="O339" s="1">
        <f>16+22+22+21+21+22</f>
        <v>124</v>
      </c>
      <c r="P339" s="2" t="s">
        <v>248</v>
      </c>
    </row>
    <row r="340" spans="1:16" x14ac:dyDescent="0.25">
      <c r="A340" s="1">
        <v>6</v>
      </c>
      <c r="B340" s="67" t="s">
        <v>159</v>
      </c>
      <c r="C340" s="44"/>
      <c r="D340" s="33">
        <f>[1]Borg!$F$22</f>
        <v>0.25</v>
      </c>
      <c r="E340" s="44"/>
      <c r="F340" s="33">
        <f>[1]Borg!$F$46</f>
        <v>0.33333333333333331</v>
      </c>
      <c r="G340" s="32">
        <f>[1]Borg!$F$59</f>
        <v>0.7857142857142857</v>
      </c>
      <c r="H340" s="24">
        <f>[1]Borg!$F$72</f>
        <v>0.73076923076923073</v>
      </c>
      <c r="I340" s="32">
        <f>[1]Borg!$F$85</f>
        <v>0.81481481481481477</v>
      </c>
      <c r="J340" s="24">
        <f>[1]Borg!$F$98</f>
        <v>0.56666666666666665</v>
      </c>
      <c r="N340" s="20">
        <f t="shared" si="14"/>
        <v>26.333333333333332</v>
      </c>
      <c r="O340" s="1">
        <f>20+27+28+26+27+30</f>
        <v>158</v>
      </c>
      <c r="P340" s="9" t="s">
        <v>249</v>
      </c>
    </row>
    <row r="341" spans="1:16" x14ac:dyDescent="0.25">
      <c r="A341" s="1">
        <v>7</v>
      </c>
      <c r="B341" s="69" t="s">
        <v>160</v>
      </c>
      <c r="C341" s="48"/>
      <c r="D341" s="33">
        <f>[1]Borg!$F$23</f>
        <v>0.33333333333333331</v>
      </c>
      <c r="E341" s="44"/>
      <c r="F341" s="24">
        <f>[1]Borg!$F$47</f>
        <v>0.58823529411764708</v>
      </c>
      <c r="G341" s="24">
        <f>[1]Borg!$F$60</f>
        <v>0.66666666666666663</v>
      </c>
      <c r="H341" s="33">
        <f>[1]Borg!$F$73</f>
        <v>0.41666666666666669</v>
      </c>
      <c r="I341" s="32">
        <f>[1]Borg!$F$86</f>
        <v>0.84615384615384615</v>
      </c>
      <c r="J341" s="32">
        <f>[1]Borg!$F$99</f>
        <v>0.8214285714285714</v>
      </c>
      <c r="N341" s="20">
        <f t="shared" si="14"/>
        <v>23.833333333333332</v>
      </c>
      <c r="O341" s="1">
        <f>27+17+21+24+26+28</f>
        <v>143</v>
      </c>
      <c r="P341" s="8" t="s">
        <v>250</v>
      </c>
    </row>
    <row r="342" spans="1:16" x14ac:dyDescent="0.25">
      <c r="A342" s="1">
        <v>8</v>
      </c>
      <c r="B342" s="60" t="s">
        <v>161</v>
      </c>
      <c r="C342" s="44"/>
      <c r="D342" s="24">
        <f>[1]Borg!$F$24</f>
        <v>0.6428571428571429</v>
      </c>
      <c r="E342" s="44"/>
      <c r="F342" s="32">
        <f>[1]Borg!$F$48</f>
        <v>0.84615384615384615</v>
      </c>
      <c r="G342" s="24">
        <f>[1]Borg!$F$61</f>
        <v>0.6428571428571429</v>
      </c>
      <c r="H342" s="24">
        <f>[1]Borg!$F$74</f>
        <v>0.61538461538461542</v>
      </c>
      <c r="I342" s="24">
        <f>[1]Borg!$F$87</f>
        <v>0.58333333333333337</v>
      </c>
      <c r="J342" s="24">
        <f>[1]Borg!$F$100</f>
        <v>0.53846153846153844</v>
      </c>
      <c r="N342" s="20">
        <f t="shared" si="14"/>
        <v>13.166666666666666</v>
      </c>
      <c r="O342" s="1">
        <f>14+13+14+13+12+13</f>
        <v>79</v>
      </c>
      <c r="P342" s="7" t="s">
        <v>29</v>
      </c>
    </row>
    <row r="343" spans="1:16" x14ac:dyDescent="0.25">
      <c r="A343" s="1">
        <v>9</v>
      </c>
      <c r="B343" s="67" t="s">
        <v>162</v>
      </c>
      <c r="C343" s="48"/>
      <c r="D343" s="33">
        <f>[1]Borg!$F$25</f>
        <v>0.42028985507246375</v>
      </c>
      <c r="E343" s="44"/>
      <c r="F343" s="53"/>
      <c r="G343" s="53"/>
      <c r="H343" s="53"/>
      <c r="I343" s="53"/>
      <c r="J343" s="53"/>
      <c r="N343" s="20">
        <f>O343</f>
        <v>69</v>
      </c>
      <c r="O343" s="1">
        <v>69</v>
      </c>
    </row>
    <row r="344" spans="1:16" x14ac:dyDescent="0.25">
      <c r="A344" s="1">
        <v>10</v>
      </c>
      <c r="B344" t="s">
        <v>163</v>
      </c>
      <c r="C344" s="58"/>
      <c r="D344" s="53"/>
      <c r="E344" s="44"/>
      <c r="F344" s="24">
        <f>[1]Borg!$F$49</f>
        <v>0.64516129032258063</v>
      </c>
      <c r="G344" s="33">
        <f>[1]Borg!$F$62</f>
        <v>0.48275862068965519</v>
      </c>
      <c r="H344" s="33">
        <f>[1]Borg!$F$75</f>
        <v>0.4</v>
      </c>
      <c r="I344" s="33">
        <f>[1]Borg!$F$88</f>
        <v>0.37931034482758619</v>
      </c>
      <c r="J344" s="33">
        <f>[1]Borg!$F$101</f>
        <v>0.35714285714285715</v>
      </c>
      <c r="N344" s="20">
        <f>O344/5</f>
        <v>28.4</v>
      </c>
      <c r="O344" s="1">
        <f>31+29+25+29+28</f>
        <v>142</v>
      </c>
    </row>
    <row r="345" spans="1:16" ht="15.75" thickBot="1" x14ac:dyDescent="0.3">
      <c r="A345" s="1">
        <v>11</v>
      </c>
      <c r="B345" s="68" t="s">
        <v>164</v>
      </c>
      <c r="C345" s="46"/>
      <c r="D345" s="59"/>
      <c r="E345" s="46"/>
      <c r="F345" s="43">
        <f>[1]Borg!$F$50</f>
        <v>0.58181818181818179</v>
      </c>
      <c r="G345" s="42">
        <f>[1]Borg!$F$63</f>
        <v>0.45614035087719296</v>
      </c>
      <c r="H345" s="42">
        <f>[1]Borg!$F$76</f>
        <v>0.31428571428571428</v>
      </c>
      <c r="I345" s="43">
        <f>[1]Borg!$F$89</f>
        <v>0.50666666666666671</v>
      </c>
      <c r="J345" s="42">
        <f>[1]Borg!$F$102</f>
        <v>0.44871794871794873</v>
      </c>
      <c r="N345" s="20">
        <f>O345/5</f>
        <v>67</v>
      </c>
      <c r="O345" s="1">
        <f>55+57+70+75+78</f>
        <v>335</v>
      </c>
    </row>
    <row r="347" spans="1:16" s="4" customFormat="1" x14ac:dyDescent="0.25">
      <c r="A347" s="5"/>
      <c r="B347" s="4" t="s">
        <v>11</v>
      </c>
      <c r="C347" s="50">
        <f>55/244</f>
        <v>0.22540983606557377</v>
      </c>
      <c r="D347" s="51">
        <f>[1]Borg!$F$26</f>
        <v>0.30303030303030304</v>
      </c>
      <c r="E347" s="50">
        <f>44/257</f>
        <v>0.17120622568093385</v>
      </c>
      <c r="F347" s="52">
        <f>[1]Borg!$F$51</f>
        <v>0.51937984496124034</v>
      </c>
      <c r="G347" s="52">
        <f>[1]Borg!$F$64</f>
        <v>0.60902255639097747</v>
      </c>
      <c r="H347" s="52">
        <f>[1]Borg!$F$77</f>
        <v>0.5625</v>
      </c>
      <c r="I347" s="52">
        <f>[1]Borg!$F$90</f>
        <v>0.63829787234042556</v>
      </c>
      <c r="J347" s="52">
        <f>[1]Borg!$F$103</f>
        <v>0.5426621160409556</v>
      </c>
      <c r="N347" s="20">
        <f>O347/6</f>
        <v>267</v>
      </c>
      <c r="O347" s="1">
        <f>231+258+266+272+282+293</f>
        <v>1602</v>
      </c>
    </row>
    <row r="348" spans="1:16" x14ac:dyDescent="0.25">
      <c r="B348" s="4" t="s">
        <v>193</v>
      </c>
      <c r="C348" s="50">
        <v>0.19900000000000001</v>
      </c>
      <c r="D348" s="50">
        <v>0.248</v>
      </c>
      <c r="E348" s="51">
        <v>0.312</v>
      </c>
      <c r="F348" s="51">
        <v>0.308</v>
      </c>
      <c r="G348" s="51">
        <v>0.26200000000000001</v>
      </c>
      <c r="H348" s="51">
        <v>0.48499999999999999</v>
      </c>
      <c r="I348" s="52">
        <v>0.53800000000000003</v>
      </c>
      <c r="J348" s="70">
        <v>0.53100000000000003</v>
      </c>
      <c r="K348"/>
      <c r="L348"/>
      <c r="N348" s="66"/>
    </row>
    <row r="349" spans="1:16" x14ac:dyDescent="0.25">
      <c r="B349" s="13" t="s">
        <v>238</v>
      </c>
    </row>
    <row r="350" spans="1:16" x14ac:dyDescent="0.25">
      <c r="B350" s="13" t="s">
        <v>191</v>
      </c>
    </row>
    <row r="351" spans="1:16" x14ac:dyDescent="0.25">
      <c r="B351" s="13" t="s">
        <v>239</v>
      </c>
    </row>
    <row r="352" spans="1:16" x14ac:dyDescent="0.25">
      <c r="B352" s="13" t="s">
        <v>231</v>
      </c>
    </row>
  </sheetData>
  <pageMargins left="0.7" right="0.7" top="0.75" bottom="0.75" header="0.3" footer="0.3"/>
  <pageSetup paperSize="9" scale="14" orientation="portrait" r:id="rId1"/>
  <ignoredErrors>
    <ignoredError sqref="N15:N17 N216 N30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Hrafnkell L</dc:creator>
  <cp:lastModifiedBy>Símon Hjalti Sverrisson - THSK</cp:lastModifiedBy>
  <dcterms:created xsi:type="dcterms:W3CDTF">2022-10-01T22:19:48Z</dcterms:created>
  <dcterms:modified xsi:type="dcterms:W3CDTF">2026-04-07T13:19:15Z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2026-04-07T13:19:15Z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8b6659de-b24a-4e6f-b722-7e97253b5cf4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